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<sst xmlns="http://schemas.openxmlformats.org/spreadsheetml/2006/main" count="212" uniqueCount="83">
  <si>
    <t>Enterprise</t>
  </si>
  <si>
    <t>Period Covered</t>
  </si>
  <si>
    <t>Date Prepared</t>
  </si>
  <si>
    <t>Enterprise Analysis</t>
  </si>
  <si>
    <t>Operation</t>
  </si>
  <si>
    <t>JD 8870 4wd Tractor</t>
  </si>
  <si>
    <t>JD 980 Field Cultivator</t>
  </si>
  <si>
    <t>Planting</t>
  </si>
  <si>
    <t>JD 8200 MFWD w/autosteer</t>
  </si>
  <si>
    <t>JD 1780 16 row 30" spacing</t>
  </si>
  <si>
    <t>Spraying</t>
  </si>
  <si>
    <t>Combining</t>
  </si>
  <si>
    <t>JD 9650 STS</t>
  </si>
  <si>
    <t>Stalk Chopping</t>
  </si>
  <si>
    <t>Alloway 3pt 20' chopper</t>
  </si>
  <si>
    <t>Moldboard Plowing</t>
  </si>
  <si>
    <t>JD 3710 10 bottom plow</t>
  </si>
  <si>
    <t>JD 960 Tru Depth</t>
  </si>
  <si>
    <t>Haul Grain To Farm</t>
  </si>
  <si>
    <t>97' International w/M11</t>
  </si>
  <si>
    <t>Chisel Plowing 2nd Pass</t>
  </si>
  <si>
    <t>Equipment Used</t>
  </si>
  <si>
    <t>Field Cultivating 1st Pass</t>
  </si>
  <si>
    <t>Flexi coil Coil Packer</t>
  </si>
  <si>
    <t>JD 890 w/Hydraulic Deck Plates</t>
  </si>
  <si>
    <t>Wilson Aluminum Trailer</t>
  </si>
  <si>
    <t>Fuel Cost Per Gallon</t>
  </si>
  <si>
    <t>Chisel Plowing 1st Pass</t>
  </si>
  <si>
    <t>Original Cost New</t>
  </si>
  <si>
    <t>Useful Life</t>
  </si>
  <si>
    <t>Units</t>
  </si>
  <si>
    <t>Wilrich 500 gal w/90' boom</t>
  </si>
  <si>
    <t>Acres</t>
  </si>
  <si>
    <t>Hours</t>
  </si>
  <si>
    <t>Miles</t>
  </si>
  <si>
    <t>Total Depreciation</t>
  </si>
  <si>
    <t>Market Value</t>
  </si>
  <si>
    <t>Fuel Cost</t>
  </si>
  <si>
    <t>Total Fuel Cost</t>
  </si>
  <si>
    <t>Total Oil Cost</t>
  </si>
  <si>
    <t>Total Acres</t>
  </si>
  <si>
    <t>Oil Cost</t>
  </si>
  <si>
    <t>Totals</t>
  </si>
  <si>
    <t>1/1/05 - 1/1/06</t>
  </si>
  <si>
    <t>Market Value of Machinery</t>
  </si>
  <si>
    <t>Variable Cash Costs</t>
  </si>
  <si>
    <r>
      <t xml:space="preserve">COSTS: </t>
    </r>
    <r>
      <rPr>
        <sz val="10"/>
        <rFont val="Arial"/>
        <family val="2"/>
      </rPr>
      <t>sources</t>
    </r>
  </si>
  <si>
    <t>Cost</t>
  </si>
  <si>
    <t>a. Depreciation</t>
  </si>
  <si>
    <t>a. Fuel</t>
  </si>
  <si>
    <t>b. Oil</t>
  </si>
  <si>
    <t>1. Total Variable Cash Cost</t>
  </si>
  <si>
    <t>Fixed Non-Cash Costs</t>
  </si>
  <si>
    <t>2. Total Fixed Non-Cash Cost</t>
  </si>
  <si>
    <t>Opportunity Costs</t>
  </si>
  <si>
    <t>4. Total Assigned Opportunity Cost</t>
  </si>
  <si>
    <t>Total Cost</t>
  </si>
  <si>
    <t>3. Accounting Cost</t>
  </si>
  <si>
    <t>Total Cost Per Acre</t>
  </si>
  <si>
    <t>d. Insurance</t>
  </si>
  <si>
    <t>Total Estimated Hours Invested</t>
  </si>
  <si>
    <t>Custom Soybean Farming</t>
  </si>
  <si>
    <t>JD 930 Flex</t>
  </si>
  <si>
    <t>Projection of future activities prepared on a per-unit basis</t>
  </si>
  <si>
    <t>Depreciation Schedule</t>
  </si>
  <si>
    <t>Field Cultivating 2nd Pass</t>
  </si>
  <si>
    <t>Total Repairs</t>
  </si>
  <si>
    <t>c. Repairs</t>
  </si>
  <si>
    <t>a. Unpaid Labor/Management</t>
  </si>
  <si>
    <t>Estimated Return Per Hour Invested</t>
  </si>
  <si>
    <t>Custom Corn Farming</t>
  </si>
  <si>
    <t>is this number low?</t>
  </si>
  <si>
    <t>ABC Farms</t>
  </si>
  <si>
    <t>Depreciation</t>
  </si>
  <si>
    <t>Hour</t>
  </si>
  <si>
    <t>Acre</t>
  </si>
  <si>
    <t>Mile</t>
  </si>
  <si>
    <t>Acres/</t>
  </si>
  <si>
    <t>Fuel per</t>
  </si>
  <si>
    <t>Acre or Mile</t>
  </si>
  <si>
    <t>Repairs per</t>
  </si>
  <si>
    <t>Acre, Hour or Mile</t>
  </si>
  <si>
    <t>Repairs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</si>
</sst>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7" fontId="0" fillId="0" borderId="0" xfId="17" applyNumberFormat="1" applyAlignment="1">
      <alignment/>
    </xf>
    <xf numFmtId="7" fontId="0" fillId="0" borderId="0" xfId="17" applyNumberFormat="1" applyAlignment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28.140625" style="0" bestFit="1" customWidth="1"/>
    <col min="3" max="3" width="19.140625" style="0" bestFit="1" customWidth="1"/>
    <col min="4" max="4" width="13.140625" style="0" bestFit="1" customWidth="1"/>
    <col min="5" max="5" width="10.57421875" style="0" bestFit="1" customWidth="1"/>
    <col min="6" max="6" width="5.8515625" style="0" bestFit="1" customWidth="1"/>
    <col min="7" max="7" width="8.8515625" style="0" customWidth="1"/>
    <col min="8" max="8" width="7.421875" style="0" customWidth="1"/>
    <col min="9" max="9" width="6.28125" style="0" customWidth="1"/>
    <col min="10" max="10" width="7.57421875" style="0" customWidth="1"/>
    <col min="11" max="11" width="8.28125" style="0" customWidth="1"/>
    <col min="12" max="12" width="8.421875" style="0" customWidth="1"/>
    <col min="13" max="13" width="7.57421875" style="0" customWidth="1"/>
    <col min="14" max="14" width="13.140625" style="0" customWidth="1"/>
    <col min="15" max="15" width="12.28125" style="0" customWidth="1"/>
    <col min="16" max="16" width="9.421875" style="0" bestFit="1" customWidth="1"/>
    <col min="17" max="17" width="9.00390625" style="0" customWidth="1"/>
    <col min="18" max="18" width="19.28125" style="0" customWidth="1"/>
    <col min="19" max="19" width="11.140625" style="0" customWidth="1"/>
  </cols>
  <sheetData>
    <row r="1" ht="18">
      <c r="A1" s="26" t="s">
        <v>72</v>
      </c>
    </row>
    <row r="2" spans="1:4" ht="12.75">
      <c r="A2" s="16" t="s">
        <v>0</v>
      </c>
      <c r="B2" t="s">
        <v>70</v>
      </c>
      <c r="C2" s="17" t="s">
        <v>26</v>
      </c>
      <c r="D2" s="9">
        <v>1.85</v>
      </c>
    </row>
    <row r="3" spans="1:12" ht="12.75">
      <c r="A3" s="16" t="s">
        <v>40</v>
      </c>
      <c r="B3" s="7">
        <v>600</v>
      </c>
      <c r="K3" s="2"/>
      <c r="L3" s="2"/>
    </row>
    <row r="4" spans="1:12" ht="12.75">
      <c r="A4" s="16" t="s">
        <v>1</v>
      </c>
      <c r="B4" s="7" t="s">
        <v>43</v>
      </c>
      <c r="K4" s="2"/>
      <c r="L4" s="2"/>
    </row>
    <row r="5" spans="1:12" ht="12.75">
      <c r="A5" s="16" t="s">
        <v>2</v>
      </c>
      <c r="B5" s="21">
        <v>38453</v>
      </c>
      <c r="K5" s="2"/>
      <c r="L5" s="2"/>
    </row>
    <row r="6" spans="1:4" ht="12.75">
      <c r="A6" s="25" t="s">
        <v>63</v>
      </c>
      <c r="B6" s="25"/>
      <c r="C6" s="2"/>
      <c r="D6" s="2"/>
    </row>
    <row r="7" spans="1:4" ht="12.75">
      <c r="A7" s="18"/>
      <c r="B7" s="18"/>
      <c r="C7" s="2"/>
      <c r="D7" s="2"/>
    </row>
    <row r="8" spans="1:4" ht="12.75">
      <c r="A8" s="1" t="s">
        <v>64</v>
      </c>
      <c r="B8" s="18"/>
      <c r="C8" s="2"/>
      <c r="D8" s="2"/>
    </row>
    <row r="9" spans="7:19" ht="12.75">
      <c r="G9" s="28"/>
      <c r="H9" s="27" t="s">
        <v>73</v>
      </c>
      <c r="I9" s="27"/>
      <c r="J9" s="3"/>
      <c r="K9" s="3"/>
      <c r="L9" s="27" t="s">
        <v>77</v>
      </c>
      <c r="M9" s="5"/>
      <c r="N9" s="3"/>
      <c r="O9" s="27" t="s">
        <v>78</v>
      </c>
      <c r="P9" s="5"/>
      <c r="Q9" s="5"/>
      <c r="R9" s="27" t="s">
        <v>80</v>
      </c>
      <c r="S9" s="5"/>
    </row>
    <row r="10" spans="1:19" ht="12.75">
      <c r="A10" s="19" t="s">
        <v>4</v>
      </c>
      <c r="B10" s="19" t="s">
        <v>21</v>
      </c>
      <c r="C10" s="19" t="s">
        <v>28</v>
      </c>
      <c r="D10" s="19" t="s">
        <v>36</v>
      </c>
      <c r="E10" s="19" t="s">
        <v>29</v>
      </c>
      <c r="F10" s="19" t="s">
        <v>30</v>
      </c>
      <c r="G10" s="3" t="s">
        <v>74</v>
      </c>
      <c r="H10" s="3" t="s">
        <v>75</v>
      </c>
      <c r="I10" s="3" t="s">
        <v>76</v>
      </c>
      <c r="J10" s="3" t="s">
        <v>32</v>
      </c>
      <c r="K10" s="3" t="s">
        <v>34</v>
      </c>
      <c r="L10" s="3" t="s">
        <v>74</v>
      </c>
      <c r="M10" s="19" t="s">
        <v>33</v>
      </c>
      <c r="N10" s="3" t="s">
        <v>73</v>
      </c>
      <c r="O10" s="29" t="s">
        <v>79</v>
      </c>
      <c r="P10" s="20" t="s">
        <v>37</v>
      </c>
      <c r="Q10" s="19" t="s">
        <v>41</v>
      </c>
      <c r="R10" s="3" t="s">
        <v>81</v>
      </c>
      <c r="S10" s="20" t="s">
        <v>82</v>
      </c>
    </row>
    <row r="11" spans="1:19" ht="12.75">
      <c r="A11" t="s">
        <v>22</v>
      </c>
      <c r="B11" t="s">
        <v>6</v>
      </c>
      <c r="C11" s="8">
        <v>21000</v>
      </c>
      <c r="D11" s="8">
        <v>17000</v>
      </c>
      <c r="E11">
        <v>35000</v>
      </c>
      <c r="F11" t="s">
        <v>32</v>
      </c>
      <c r="G11" s="11"/>
      <c r="H11" s="11">
        <f>C11/E11</f>
        <v>0.6</v>
      </c>
      <c r="I11" s="10"/>
      <c r="J11">
        <v>600</v>
      </c>
      <c r="M11" s="12"/>
      <c r="N11" s="13">
        <f>J11*H11</f>
        <v>360</v>
      </c>
      <c r="P11" s="11"/>
      <c r="Q11" s="11"/>
      <c r="R11" s="14">
        <f>500/5000+50/2000</f>
        <v>0.125</v>
      </c>
      <c r="S11" s="11">
        <f>R11*J11</f>
        <v>75</v>
      </c>
    </row>
    <row r="12" spans="2:19" ht="12.75">
      <c r="B12" t="s">
        <v>5</v>
      </c>
      <c r="C12" s="8">
        <v>105000</v>
      </c>
      <c r="D12" s="8">
        <v>55000</v>
      </c>
      <c r="E12">
        <v>10000</v>
      </c>
      <c r="F12" t="s">
        <v>33</v>
      </c>
      <c r="G12" s="11">
        <f>C12/E12</f>
        <v>10.5</v>
      </c>
      <c r="H12" s="11"/>
      <c r="I12" s="10"/>
      <c r="J12">
        <v>600</v>
      </c>
      <c r="L12">
        <v>25</v>
      </c>
      <c r="M12" s="12">
        <f>J12/L12</f>
        <v>24</v>
      </c>
      <c r="N12" s="13">
        <f>M12*G12</f>
        <v>252</v>
      </c>
      <c r="O12">
        <v>0.5</v>
      </c>
      <c r="P12" s="11">
        <f>O12*J12*D2</f>
        <v>555</v>
      </c>
      <c r="Q12" s="11">
        <f>(200/350)*M12</f>
        <v>13.714285714285714</v>
      </c>
      <c r="R12" s="14">
        <f>5000/3000</f>
        <v>1.6666666666666667</v>
      </c>
      <c r="S12" s="11">
        <f aca="true" t="shared" si="0" ref="S12:S21">R12*J12</f>
        <v>1000</v>
      </c>
    </row>
    <row r="13" spans="1:19" ht="12.75">
      <c r="A13" t="s">
        <v>65</v>
      </c>
      <c r="B13" t="s">
        <v>6</v>
      </c>
      <c r="C13" s="8">
        <v>21000</v>
      </c>
      <c r="D13" s="8"/>
      <c r="E13">
        <v>35000</v>
      </c>
      <c r="F13" t="s">
        <v>32</v>
      </c>
      <c r="G13" s="11"/>
      <c r="H13" s="11">
        <f>C13/E13</f>
        <v>0.6</v>
      </c>
      <c r="I13" s="10"/>
      <c r="J13">
        <v>600</v>
      </c>
      <c r="M13" s="12"/>
      <c r="N13" s="13">
        <f>J13*H13</f>
        <v>360</v>
      </c>
      <c r="P13" s="11"/>
      <c r="Q13" s="11"/>
      <c r="R13" s="14">
        <f>500/5000+50/2000</f>
        <v>0.125</v>
      </c>
      <c r="S13" s="11">
        <f t="shared" si="0"/>
        <v>75</v>
      </c>
    </row>
    <row r="14" spans="2:19" ht="12.75">
      <c r="B14" t="s">
        <v>5</v>
      </c>
      <c r="C14" s="8">
        <v>105000</v>
      </c>
      <c r="D14" s="8"/>
      <c r="E14">
        <v>10000</v>
      </c>
      <c r="F14" t="s">
        <v>33</v>
      </c>
      <c r="G14" s="11">
        <f>C14/E14</f>
        <v>10.5</v>
      </c>
      <c r="H14" s="11"/>
      <c r="I14" s="10"/>
      <c r="J14">
        <v>600</v>
      </c>
      <c r="L14">
        <v>22</v>
      </c>
      <c r="M14" s="12">
        <f>J14/L14</f>
        <v>27.272727272727273</v>
      </c>
      <c r="N14" s="13">
        <f>M14*G14</f>
        <v>286.3636363636364</v>
      </c>
      <c r="O14">
        <v>0.75</v>
      </c>
      <c r="P14" s="11">
        <f>O14*J14*D2</f>
        <v>832.5</v>
      </c>
      <c r="Q14" s="11">
        <f>(200/350)*M14</f>
        <v>15.584415584415584</v>
      </c>
      <c r="R14" s="14">
        <f>5000/3000</f>
        <v>1.6666666666666667</v>
      </c>
      <c r="S14" s="11">
        <f t="shared" si="0"/>
        <v>1000</v>
      </c>
    </row>
    <row r="15" spans="2:19" ht="12.75">
      <c r="B15" t="s">
        <v>23</v>
      </c>
      <c r="C15" s="8">
        <v>8500</v>
      </c>
      <c r="D15" s="8">
        <v>3500</v>
      </c>
      <c r="E15">
        <v>40000</v>
      </c>
      <c r="F15" t="s">
        <v>32</v>
      </c>
      <c r="G15" s="11"/>
      <c r="H15" s="11">
        <f>C15/E15</f>
        <v>0.2125</v>
      </c>
      <c r="I15" s="10"/>
      <c r="J15">
        <v>600</v>
      </c>
      <c r="M15" s="12"/>
      <c r="N15" s="13">
        <f>J15*H15</f>
        <v>127.5</v>
      </c>
      <c r="P15" s="11"/>
      <c r="Q15" s="11"/>
      <c r="R15" s="14">
        <f>75/2000</f>
        <v>0.0375</v>
      </c>
      <c r="S15" s="11">
        <f t="shared" si="0"/>
        <v>22.5</v>
      </c>
    </row>
    <row r="16" spans="1:19" ht="12.75">
      <c r="A16" t="s">
        <v>7</v>
      </c>
      <c r="B16" t="s">
        <v>8</v>
      </c>
      <c r="C16" s="8">
        <v>100000</v>
      </c>
      <c r="D16" s="8">
        <v>60000</v>
      </c>
      <c r="E16">
        <v>10000</v>
      </c>
      <c r="F16" t="s">
        <v>33</v>
      </c>
      <c r="G16" s="11">
        <f>C16/E16</f>
        <v>10</v>
      </c>
      <c r="H16" s="11"/>
      <c r="I16" s="10"/>
      <c r="J16">
        <v>600</v>
      </c>
      <c r="L16">
        <v>15</v>
      </c>
      <c r="M16" s="12">
        <f>J16/L16</f>
        <v>40</v>
      </c>
      <c r="N16" s="13">
        <f>M16*G16</f>
        <v>400</v>
      </c>
      <c r="O16">
        <v>0.4</v>
      </c>
      <c r="P16" s="11">
        <f>O16*J16*D2</f>
        <v>444</v>
      </c>
      <c r="Q16" s="11">
        <f>(120/350)*M16</f>
        <v>13.714285714285715</v>
      </c>
      <c r="R16" s="14">
        <f>5000/3000</f>
        <v>1.6666666666666667</v>
      </c>
      <c r="S16" s="11">
        <f t="shared" si="0"/>
        <v>1000</v>
      </c>
    </row>
    <row r="17" spans="2:19" ht="12.75">
      <c r="B17" t="s">
        <v>9</v>
      </c>
      <c r="C17" s="8">
        <v>66000</v>
      </c>
      <c r="D17" s="8">
        <v>45000</v>
      </c>
      <c r="E17">
        <v>35000</v>
      </c>
      <c r="F17" t="s">
        <v>32</v>
      </c>
      <c r="G17" s="11"/>
      <c r="H17" s="11">
        <f>C17/E17</f>
        <v>1.8857142857142857</v>
      </c>
      <c r="I17" s="10"/>
      <c r="J17">
        <v>600</v>
      </c>
      <c r="M17" s="12"/>
      <c r="N17" s="13">
        <f>J17*H17</f>
        <v>1131.4285714285713</v>
      </c>
      <c r="P17" s="11"/>
      <c r="Q17" s="11"/>
      <c r="R17" s="14">
        <f>270*31/7500+20*31/7500+15*31/7500+100/1000</f>
        <v>1.360666666666667</v>
      </c>
      <c r="S17" s="11">
        <f t="shared" si="0"/>
        <v>816.4000000000001</v>
      </c>
    </row>
    <row r="18" spans="1:19" ht="12.75">
      <c r="A18" t="s">
        <v>10</v>
      </c>
      <c r="B18" t="s">
        <v>8</v>
      </c>
      <c r="C18" s="8">
        <v>100000</v>
      </c>
      <c r="E18">
        <v>10000</v>
      </c>
      <c r="F18" t="s">
        <v>33</v>
      </c>
      <c r="G18" s="11">
        <f>C18/E18</f>
        <v>10</v>
      </c>
      <c r="H18" s="11"/>
      <c r="I18" s="10"/>
      <c r="J18">
        <v>900</v>
      </c>
      <c r="L18">
        <v>75</v>
      </c>
      <c r="M18" s="12">
        <f>J18/L18</f>
        <v>12</v>
      </c>
      <c r="N18" s="13">
        <f>M18*G18</f>
        <v>120</v>
      </c>
      <c r="O18">
        <v>0.2</v>
      </c>
      <c r="P18" s="11">
        <f>O18*J18*D2</f>
        <v>333</v>
      </c>
      <c r="Q18" s="11">
        <f>(120/350)*M18</f>
        <v>4.114285714285714</v>
      </c>
      <c r="R18" s="14">
        <f>5000/3000</f>
        <v>1.6666666666666667</v>
      </c>
      <c r="S18" s="11">
        <f t="shared" si="0"/>
        <v>1500</v>
      </c>
    </row>
    <row r="19" spans="2:19" ht="12.75">
      <c r="B19" t="s">
        <v>31</v>
      </c>
      <c r="C19" s="8">
        <v>18000</v>
      </c>
      <c r="D19" s="8">
        <v>15500</v>
      </c>
      <c r="E19">
        <v>100000</v>
      </c>
      <c r="F19" t="s">
        <v>32</v>
      </c>
      <c r="G19" s="11"/>
      <c r="H19" s="11">
        <f>C19/E19</f>
        <v>0.18</v>
      </c>
      <c r="I19" s="10"/>
      <c r="J19">
        <v>900</v>
      </c>
      <c r="M19" s="12"/>
      <c r="N19" s="13">
        <f>J19*H19</f>
        <v>162</v>
      </c>
      <c r="P19" s="11"/>
      <c r="Q19" s="11"/>
      <c r="R19" s="14">
        <f>100/2000</f>
        <v>0.05</v>
      </c>
      <c r="S19" s="11">
        <f t="shared" si="0"/>
        <v>45</v>
      </c>
    </row>
    <row r="20" spans="1:19" ht="12.75">
      <c r="A20" t="s">
        <v>11</v>
      </c>
      <c r="B20" t="s">
        <v>12</v>
      </c>
      <c r="C20" s="8">
        <v>145000</v>
      </c>
      <c r="D20" s="8">
        <v>92000</v>
      </c>
      <c r="E20">
        <v>7500</v>
      </c>
      <c r="F20" t="s">
        <v>33</v>
      </c>
      <c r="G20" s="11">
        <f>C20/E20</f>
        <v>19.333333333333332</v>
      </c>
      <c r="H20" s="11"/>
      <c r="I20" s="10"/>
      <c r="J20">
        <v>600</v>
      </c>
      <c r="L20">
        <v>10</v>
      </c>
      <c r="M20" s="12">
        <f>J20/L20</f>
        <v>60</v>
      </c>
      <c r="N20" s="13">
        <f>M20*G20</f>
        <v>1160</v>
      </c>
      <c r="O20">
        <v>1.5</v>
      </c>
      <c r="P20" s="11">
        <f>O20*J20*D2</f>
        <v>1665</v>
      </c>
      <c r="Q20" s="11">
        <f>(250/200)*M20</f>
        <v>75</v>
      </c>
      <c r="R20" s="14">
        <f>5000/1500+500/200</f>
        <v>5.833333333333334</v>
      </c>
      <c r="S20" s="11">
        <f t="shared" si="0"/>
        <v>3500.0000000000005</v>
      </c>
    </row>
    <row r="21" spans="2:19" ht="12.75">
      <c r="B21" t="s">
        <v>24</v>
      </c>
      <c r="C21" s="8">
        <v>32000</v>
      </c>
      <c r="D21" s="8">
        <v>19000</v>
      </c>
      <c r="E21">
        <v>20000</v>
      </c>
      <c r="F21" t="s">
        <v>32</v>
      </c>
      <c r="G21" s="11"/>
      <c r="H21" s="11">
        <f>C21/E21</f>
        <v>1.6</v>
      </c>
      <c r="I21" s="10"/>
      <c r="J21">
        <v>600</v>
      </c>
      <c r="M21" s="12"/>
      <c r="N21" s="13">
        <f>J21*H21</f>
        <v>960</v>
      </c>
      <c r="P21" s="11"/>
      <c r="Q21" s="11"/>
      <c r="R21" s="14">
        <f>100/3000+300/3000</f>
        <v>0.13333333333333333</v>
      </c>
      <c r="S21" s="11">
        <f t="shared" si="0"/>
        <v>80</v>
      </c>
    </row>
    <row r="22" spans="1:19" ht="12.75">
      <c r="A22" t="s">
        <v>18</v>
      </c>
      <c r="B22" t="s">
        <v>19</v>
      </c>
      <c r="C22" s="8">
        <v>60000</v>
      </c>
      <c r="D22" s="8">
        <v>15000</v>
      </c>
      <c r="E22">
        <v>1000000</v>
      </c>
      <c r="F22" t="s">
        <v>34</v>
      </c>
      <c r="G22" s="11"/>
      <c r="H22" s="11"/>
      <c r="I22" s="10">
        <f>C22/E22</f>
        <v>0.06</v>
      </c>
      <c r="K22">
        <v>1500</v>
      </c>
      <c r="M22" s="12"/>
      <c r="N22" s="13">
        <f>K22*I22</f>
        <v>90</v>
      </c>
      <c r="O22">
        <v>4</v>
      </c>
      <c r="P22" s="11">
        <f>K22/O22*D2</f>
        <v>693.75</v>
      </c>
      <c r="Q22" s="11">
        <f>(100/7000)*K22</f>
        <v>21.428571428571427</v>
      </c>
      <c r="R22" s="14">
        <f>300/7000+500/7000</f>
        <v>0.11428571428571428</v>
      </c>
      <c r="S22" s="11">
        <f>R22*K22</f>
        <v>171.42857142857142</v>
      </c>
    </row>
    <row r="23" spans="2:19" ht="12.75">
      <c r="B23" t="s">
        <v>25</v>
      </c>
      <c r="C23" s="8">
        <v>22700</v>
      </c>
      <c r="D23" s="8">
        <v>15000</v>
      </c>
      <c r="E23">
        <v>1000000</v>
      </c>
      <c r="F23" t="s">
        <v>34</v>
      </c>
      <c r="G23" s="11"/>
      <c r="H23" s="11"/>
      <c r="I23" s="10">
        <f>C23/E23</f>
        <v>0.0227</v>
      </c>
      <c r="K23">
        <v>1500</v>
      </c>
      <c r="M23" s="12"/>
      <c r="N23" s="13">
        <f>K23*I23</f>
        <v>34.050000000000004</v>
      </c>
      <c r="P23" s="11"/>
      <c r="Q23" s="11"/>
      <c r="R23" s="14">
        <f>300/7000+500/7000</f>
        <v>0.11428571428571428</v>
      </c>
      <c r="S23" s="11">
        <f>R23*K23</f>
        <v>171.42857142857142</v>
      </c>
    </row>
    <row r="24" spans="1:19" ht="12.75">
      <c r="A24" t="s">
        <v>13</v>
      </c>
      <c r="B24" t="s">
        <v>8</v>
      </c>
      <c r="C24" s="8">
        <v>100000</v>
      </c>
      <c r="D24" s="8"/>
      <c r="E24">
        <v>10000</v>
      </c>
      <c r="F24" t="s">
        <v>33</v>
      </c>
      <c r="G24" s="11">
        <f>C24/E24</f>
        <v>10</v>
      </c>
      <c r="H24" s="11"/>
      <c r="I24" s="10"/>
      <c r="J24">
        <v>600</v>
      </c>
      <c r="L24">
        <v>10</v>
      </c>
      <c r="M24" s="12">
        <f>J24/L24</f>
        <v>60</v>
      </c>
      <c r="N24" s="13">
        <f>M24*G24</f>
        <v>600</v>
      </c>
      <c r="O24">
        <v>1</v>
      </c>
      <c r="P24" s="11">
        <f>O24*J24*D2</f>
        <v>1110</v>
      </c>
      <c r="Q24" s="11">
        <f>(120/350)*M24</f>
        <v>20.571428571428573</v>
      </c>
      <c r="R24" s="14">
        <f>5000/3000</f>
        <v>1.6666666666666667</v>
      </c>
      <c r="S24" s="11">
        <f>R24*J24</f>
        <v>1000</v>
      </c>
    </row>
    <row r="25" spans="2:19" ht="12.75">
      <c r="B25" t="s">
        <v>14</v>
      </c>
      <c r="C25" s="8">
        <v>10000</v>
      </c>
      <c r="D25" s="8">
        <v>3000</v>
      </c>
      <c r="E25">
        <v>15000</v>
      </c>
      <c r="F25" t="s">
        <v>32</v>
      </c>
      <c r="G25" s="11"/>
      <c r="H25" s="11">
        <f>C25/E25</f>
        <v>0.6666666666666666</v>
      </c>
      <c r="I25" s="10"/>
      <c r="J25">
        <v>600</v>
      </c>
      <c r="M25" s="12"/>
      <c r="N25" s="13">
        <f>J25*H25</f>
        <v>400</v>
      </c>
      <c r="P25" s="11"/>
      <c r="Q25" s="11"/>
      <c r="R25" s="14">
        <f>1200/3000</f>
        <v>0.4</v>
      </c>
      <c r="S25" s="11">
        <f aca="true" t="shared" si="1" ref="S25:S31">R25*J25</f>
        <v>240</v>
      </c>
    </row>
    <row r="26" spans="1:19" ht="12.75">
      <c r="A26" t="s">
        <v>15</v>
      </c>
      <c r="B26" t="s">
        <v>5</v>
      </c>
      <c r="C26" s="8">
        <v>105000</v>
      </c>
      <c r="D26" s="8"/>
      <c r="E26">
        <v>10000</v>
      </c>
      <c r="F26" t="s">
        <v>33</v>
      </c>
      <c r="G26" s="11">
        <f>C26/E26</f>
        <v>10.5</v>
      </c>
      <c r="H26" s="11"/>
      <c r="I26" s="10"/>
      <c r="J26">
        <v>350</v>
      </c>
      <c r="L26">
        <v>8</v>
      </c>
      <c r="M26" s="12">
        <f>J26/L26</f>
        <v>43.75</v>
      </c>
      <c r="N26" s="13">
        <f>M26*G26</f>
        <v>459.375</v>
      </c>
      <c r="O26">
        <v>2</v>
      </c>
      <c r="P26" s="11">
        <f>O26*J26*D2</f>
        <v>1295</v>
      </c>
      <c r="Q26" s="11">
        <f>(200/350)*M26</f>
        <v>25</v>
      </c>
      <c r="R26" s="14">
        <f>5000/3000</f>
        <v>1.6666666666666667</v>
      </c>
      <c r="S26" s="11">
        <f t="shared" si="1"/>
        <v>583.3333333333334</v>
      </c>
    </row>
    <row r="27" spans="2:19" ht="12.75">
      <c r="B27" t="s">
        <v>16</v>
      </c>
      <c r="C27" s="8">
        <v>21000</v>
      </c>
      <c r="D27" s="8">
        <v>8000</v>
      </c>
      <c r="E27">
        <v>25000</v>
      </c>
      <c r="F27" t="s">
        <v>32</v>
      </c>
      <c r="G27" s="11"/>
      <c r="H27" s="11">
        <f>C27/E27</f>
        <v>0.84</v>
      </c>
      <c r="I27" s="10"/>
      <c r="J27">
        <v>350</v>
      </c>
      <c r="M27" s="12"/>
      <c r="N27" s="13">
        <f>J27*H27</f>
        <v>294</v>
      </c>
      <c r="P27" s="11"/>
      <c r="Q27" s="11"/>
      <c r="R27" s="14">
        <f>250/400+50/800+100/400</f>
        <v>0.9375</v>
      </c>
      <c r="S27" s="11">
        <f t="shared" si="1"/>
        <v>328.125</v>
      </c>
    </row>
    <row r="28" spans="1:19" ht="12.75">
      <c r="A28" t="s">
        <v>27</v>
      </c>
      <c r="B28" t="s">
        <v>5</v>
      </c>
      <c r="C28" s="8">
        <v>105000</v>
      </c>
      <c r="D28" s="8"/>
      <c r="E28">
        <v>10000</v>
      </c>
      <c r="F28" t="s">
        <v>33</v>
      </c>
      <c r="G28" s="11">
        <f>C28/E28</f>
        <v>10.5</v>
      </c>
      <c r="H28" s="11"/>
      <c r="I28" s="10"/>
      <c r="J28">
        <v>250</v>
      </c>
      <c r="L28">
        <v>12</v>
      </c>
      <c r="M28" s="12">
        <f>J28/L28</f>
        <v>20.833333333333332</v>
      </c>
      <c r="N28" s="13">
        <f>M28*G28</f>
        <v>218.75</v>
      </c>
      <c r="O28">
        <v>1.25</v>
      </c>
      <c r="P28" s="11">
        <f>O28*J28*D2</f>
        <v>578.125</v>
      </c>
      <c r="Q28" s="11">
        <f>(200/350)*M28</f>
        <v>11.904761904761903</v>
      </c>
      <c r="R28" s="14">
        <f>5000/3000</f>
        <v>1.6666666666666667</v>
      </c>
      <c r="S28" s="11">
        <f t="shared" si="1"/>
        <v>416.6666666666667</v>
      </c>
    </row>
    <row r="29" spans="2:19" ht="12.75">
      <c r="B29" t="s">
        <v>17</v>
      </c>
      <c r="C29" s="8">
        <v>18000</v>
      </c>
      <c r="D29" s="8">
        <v>4000</v>
      </c>
      <c r="E29">
        <v>25000</v>
      </c>
      <c r="F29" t="s">
        <v>32</v>
      </c>
      <c r="G29" s="11"/>
      <c r="H29" s="11">
        <f>C29/E29</f>
        <v>0.72</v>
      </c>
      <c r="I29" s="10"/>
      <c r="J29">
        <v>250</v>
      </c>
      <c r="M29" s="12"/>
      <c r="N29" s="13">
        <f>J29*H29</f>
        <v>180</v>
      </c>
      <c r="P29" s="11"/>
      <c r="Q29" s="11"/>
      <c r="R29" s="14">
        <f>300/2000+50/1000+75/1000</f>
        <v>0.275</v>
      </c>
      <c r="S29" s="11">
        <f t="shared" si="1"/>
        <v>68.75</v>
      </c>
    </row>
    <row r="30" spans="1:19" ht="12.75">
      <c r="A30" t="s">
        <v>20</v>
      </c>
      <c r="B30" t="s">
        <v>5</v>
      </c>
      <c r="C30" s="8">
        <v>105000</v>
      </c>
      <c r="D30" s="8"/>
      <c r="E30">
        <v>10000</v>
      </c>
      <c r="F30" t="s">
        <v>33</v>
      </c>
      <c r="G30" s="11">
        <f>C30/E30</f>
        <v>10.5</v>
      </c>
      <c r="H30" s="11"/>
      <c r="I30" s="10"/>
      <c r="J30">
        <v>250</v>
      </c>
      <c r="L30">
        <v>12</v>
      </c>
      <c r="M30" s="12">
        <f>J30/L30</f>
        <v>20.833333333333332</v>
      </c>
      <c r="N30" s="13">
        <f>M30*G30</f>
        <v>218.75</v>
      </c>
      <c r="O30">
        <v>1.25</v>
      </c>
      <c r="P30" s="11">
        <f>O30*J30*D2</f>
        <v>578.125</v>
      </c>
      <c r="Q30" s="11">
        <f>(200/350)*M30</f>
        <v>11.904761904761903</v>
      </c>
      <c r="R30" s="14">
        <f>5000/3000</f>
        <v>1.6666666666666667</v>
      </c>
      <c r="S30" s="11">
        <f t="shared" si="1"/>
        <v>416.6666666666667</v>
      </c>
    </row>
    <row r="31" spans="2:19" ht="12.75">
      <c r="B31" t="s">
        <v>17</v>
      </c>
      <c r="C31" s="8">
        <v>18000</v>
      </c>
      <c r="D31" s="8"/>
      <c r="E31">
        <v>25000</v>
      </c>
      <c r="F31" t="s">
        <v>32</v>
      </c>
      <c r="G31" s="11"/>
      <c r="H31" s="11">
        <f>C31/E31</f>
        <v>0.72</v>
      </c>
      <c r="I31" s="10"/>
      <c r="J31">
        <v>250</v>
      </c>
      <c r="M31" s="12"/>
      <c r="N31" s="13">
        <f>J31*H31</f>
        <v>180</v>
      </c>
      <c r="Q31" s="11"/>
      <c r="R31" s="14">
        <f>300/2000+50/1000+75/1000</f>
        <v>0.275</v>
      </c>
      <c r="S31" s="11">
        <f t="shared" si="1"/>
        <v>68.75</v>
      </c>
    </row>
    <row r="32" ht="12.75">
      <c r="I32" s="10"/>
    </row>
    <row r="33" spans="1:13" ht="13.5" thickBot="1">
      <c r="A33" s="15" t="s">
        <v>42</v>
      </c>
      <c r="C33" s="4"/>
      <c r="M33" s="12"/>
    </row>
    <row r="34" spans="1:2" ht="12.75">
      <c r="A34" s="5" t="s">
        <v>44</v>
      </c>
      <c r="B34" s="11">
        <f>SUM(D11:D31)</f>
        <v>352000</v>
      </c>
    </row>
    <row r="35" spans="1:13" ht="12.75">
      <c r="A35" s="5" t="s">
        <v>35</v>
      </c>
      <c r="B35" s="11">
        <f>SUM(N11:N31)</f>
        <v>7994.217207792208</v>
      </c>
      <c r="C35" s="22" t="s">
        <v>71</v>
      </c>
      <c r="M35" s="1"/>
    </row>
    <row r="36" spans="1:2" ht="12.75">
      <c r="A36" s="5" t="s">
        <v>38</v>
      </c>
      <c r="B36" s="11">
        <f>SUM(P11:P31)</f>
        <v>8084.5</v>
      </c>
    </row>
    <row r="37" spans="1:2" ht="12.75">
      <c r="A37" s="5" t="s">
        <v>39</v>
      </c>
      <c r="B37" s="11">
        <f>SUM(Q11:Q31)</f>
        <v>212.93679653679652</v>
      </c>
    </row>
    <row r="38" spans="1:2" ht="12.75">
      <c r="A38" s="5" t="s">
        <v>66</v>
      </c>
      <c r="B38" s="11">
        <f>SUM(S11:S31)</f>
        <v>12579.048809523807</v>
      </c>
    </row>
    <row r="39" spans="1:2" ht="12.75">
      <c r="A39" s="5" t="s">
        <v>60</v>
      </c>
      <c r="B39" s="12">
        <v>472</v>
      </c>
    </row>
    <row r="43" ht="12.75">
      <c r="A43" s="1" t="s">
        <v>3</v>
      </c>
    </row>
    <row r="45" spans="1:2" ht="12.75">
      <c r="A45" s="1" t="s">
        <v>46</v>
      </c>
      <c r="B45" s="6" t="s">
        <v>47</v>
      </c>
    </row>
    <row r="46" ht="12.75">
      <c r="A46" s="22" t="s">
        <v>45</v>
      </c>
    </row>
    <row r="47" spans="1:2" ht="12.75">
      <c r="A47" s="23" t="s">
        <v>49</v>
      </c>
      <c r="B47" s="11">
        <f>SUM(P11:P31)</f>
        <v>8084.5</v>
      </c>
    </row>
    <row r="48" spans="1:2" ht="12.75">
      <c r="A48" s="23" t="s">
        <v>50</v>
      </c>
      <c r="B48" s="11">
        <f>SUM(Q11:Q31)</f>
        <v>212.93679653679652</v>
      </c>
    </row>
    <row r="49" spans="1:2" ht="12.75">
      <c r="A49" s="23" t="s">
        <v>67</v>
      </c>
      <c r="B49" s="11">
        <f>SUM(S11:S31)</f>
        <v>12579.048809523807</v>
      </c>
    </row>
    <row r="50" spans="1:2" ht="12.75">
      <c r="A50" s="23" t="s">
        <v>59</v>
      </c>
      <c r="B50" s="11">
        <v>250</v>
      </c>
    </row>
    <row r="51" spans="1:2" ht="12.75">
      <c r="A51" s="1" t="s">
        <v>51</v>
      </c>
      <c r="B51" s="11">
        <f>SUM(B47:B50)</f>
        <v>21126.485606060603</v>
      </c>
    </row>
    <row r="52" ht="12.75">
      <c r="A52" s="22" t="s">
        <v>52</v>
      </c>
    </row>
    <row r="53" spans="1:2" ht="12.75">
      <c r="A53" s="23" t="s">
        <v>48</v>
      </c>
      <c r="B53" s="11">
        <f>SUM(N11:N31)</f>
        <v>7994.217207792208</v>
      </c>
    </row>
    <row r="54" spans="1:2" ht="12.75">
      <c r="A54" s="1" t="s">
        <v>53</v>
      </c>
      <c r="B54" s="11">
        <f>B53</f>
        <v>7994.217207792208</v>
      </c>
    </row>
    <row r="55" spans="1:2" ht="12.75">
      <c r="A55" s="1" t="s">
        <v>57</v>
      </c>
      <c r="B55" s="11">
        <f>SUM(B51+B54)</f>
        <v>29120.70281385281</v>
      </c>
    </row>
    <row r="56" ht="12.75">
      <c r="A56" s="22" t="s">
        <v>54</v>
      </c>
    </row>
    <row r="57" spans="1:2" ht="12.75">
      <c r="A57" t="s">
        <v>68</v>
      </c>
      <c r="B57" s="11">
        <v>10000</v>
      </c>
    </row>
    <row r="58" spans="1:2" ht="12.75">
      <c r="A58" s="1" t="s">
        <v>55</v>
      </c>
      <c r="B58" s="11">
        <f>SUM(B57:B57)</f>
        <v>10000</v>
      </c>
    </row>
    <row r="59" spans="1:2" ht="12.75">
      <c r="A59" s="1" t="s">
        <v>56</v>
      </c>
      <c r="B59" s="11">
        <f>SUM(B55+B58)</f>
        <v>39120.70281385281</v>
      </c>
    </row>
    <row r="60" spans="1:2" ht="12.75">
      <c r="A60" s="1" t="s">
        <v>58</v>
      </c>
      <c r="B60" s="11">
        <f>B59/600</f>
        <v>65.20117135642136</v>
      </c>
    </row>
    <row r="61" spans="1:2" ht="12.75">
      <c r="A61" s="1"/>
      <c r="B61" s="11"/>
    </row>
    <row r="62" spans="1:2" ht="12.75">
      <c r="A62" s="1"/>
      <c r="B62" s="11"/>
    </row>
    <row r="63" spans="1:2" ht="12.75">
      <c r="A63" s="1"/>
      <c r="B63" s="11"/>
    </row>
    <row r="64" spans="1:2" ht="12.75">
      <c r="A64" s="1" t="s">
        <v>69</v>
      </c>
      <c r="B64" s="11">
        <f>B57/B39</f>
        <v>21.1864406779661</v>
      </c>
    </row>
    <row r="66" spans="1:19" ht="13.5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8" spans="1:4" ht="12.75">
      <c r="A68" s="16" t="s">
        <v>0</v>
      </c>
      <c r="B68" t="s">
        <v>61</v>
      </c>
      <c r="C68" s="17" t="s">
        <v>26</v>
      </c>
      <c r="D68" s="9">
        <v>1.85</v>
      </c>
    </row>
    <row r="69" spans="1:12" ht="12.75">
      <c r="A69" s="16" t="s">
        <v>40</v>
      </c>
      <c r="B69" s="7">
        <v>600</v>
      </c>
      <c r="K69" s="2"/>
      <c r="L69" s="2"/>
    </row>
    <row r="70" spans="1:12" ht="12.75">
      <c r="A70" s="16" t="s">
        <v>1</v>
      </c>
      <c r="B70" s="7" t="s">
        <v>43</v>
      </c>
      <c r="K70" s="2"/>
      <c r="L70" s="2"/>
    </row>
    <row r="71" spans="1:12" ht="12.75">
      <c r="A71" s="16" t="s">
        <v>2</v>
      </c>
      <c r="B71" s="21">
        <v>38453</v>
      </c>
      <c r="K71" s="2"/>
      <c r="L71" s="2"/>
    </row>
    <row r="72" spans="1:4" ht="12.75">
      <c r="A72" s="25" t="s">
        <v>63</v>
      </c>
      <c r="B72" s="25"/>
      <c r="C72" s="2"/>
      <c r="D72" s="2"/>
    </row>
    <row r="73" spans="1:4" ht="12.75">
      <c r="A73" s="18"/>
      <c r="B73" s="18"/>
      <c r="C73" s="2"/>
      <c r="D73" s="2"/>
    </row>
    <row r="74" spans="1:4" ht="12.75">
      <c r="A74" s="1" t="s">
        <v>64</v>
      </c>
      <c r="B74" s="18"/>
      <c r="C74" s="2"/>
      <c r="D74" s="2"/>
    </row>
    <row r="75" spans="7:19" ht="12.75">
      <c r="G75" s="28"/>
      <c r="H75" s="27" t="s">
        <v>73</v>
      </c>
      <c r="I75" s="27"/>
      <c r="J75" s="3"/>
      <c r="K75" s="3"/>
      <c r="L75" s="27" t="s">
        <v>77</v>
      </c>
      <c r="M75" s="5"/>
      <c r="N75" s="3"/>
      <c r="O75" s="27" t="s">
        <v>78</v>
      </c>
      <c r="P75" s="5"/>
      <c r="Q75" s="5"/>
      <c r="R75" s="27" t="s">
        <v>80</v>
      </c>
      <c r="S75" s="5"/>
    </row>
    <row r="76" spans="1:19" ht="12.75">
      <c r="A76" s="19" t="s">
        <v>4</v>
      </c>
      <c r="B76" s="19" t="s">
        <v>21</v>
      </c>
      <c r="C76" s="19" t="s">
        <v>28</v>
      </c>
      <c r="D76" s="19" t="s">
        <v>36</v>
      </c>
      <c r="E76" s="19" t="s">
        <v>29</v>
      </c>
      <c r="F76" s="19" t="s">
        <v>30</v>
      </c>
      <c r="G76" s="3" t="s">
        <v>74</v>
      </c>
      <c r="H76" s="3" t="s">
        <v>75</v>
      </c>
      <c r="I76" s="3" t="s">
        <v>76</v>
      </c>
      <c r="J76" s="3" t="s">
        <v>32</v>
      </c>
      <c r="K76" s="3" t="s">
        <v>34</v>
      </c>
      <c r="L76" s="3" t="s">
        <v>74</v>
      </c>
      <c r="M76" s="19" t="s">
        <v>33</v>
      </c>
      <c r="N76" s="3" t="s">
        <v>73</v>
      </c>
      <c r="O76" s="29" t="s">
        <v>79</v>
      </c>
      <c r="P76" s="20" t="s">
        <v>37</v>
      </c>
      <c r="Q76" s="19" t="s">
        <v>41</v>
      </c>
      <c r="R76" s="3" t="s">
        <v>81</v>
      </c>
      <c r="S76" s="20" t="s">
        <v>82</v>
      </c>
    </row>
    <row r="77" spans="1:19" ht="12.75">
      <c r="A77" t="s">
        <v>22</v>
      </c>
      <c r="B77" t="s">
        <v>6</v>
      </c>
      <c r="C77" s="8">
        <v>21000</v>
      </c>
      <c r="D77" s="8">
        <v>17000</v>
      </c>
      <c r="E77">
        <v>35000</v>
      </c>
      <c r="F77" t="s">
        <v>32</v>
      </c>
      <c r="G77" s="11"/>
      <c r="H77" s="11">
        <f>C77/E77</f>
        <v>0.6</v>
      </c>
      <c r="I77" s="10"/>
      <c r="J77">
        <v>600</v>
      </c>
      <c r="M77" s="12"/>
      <c r="N77" s="13">
        <f>J77*H77</f>
        <v>360</v>
      </c>
      <c r="P77" s="11"/>
      <c r="Q77" s="11"/>
      <c r="R77" s="14">
        <f>500/5000+50/2000</f>
        <v>0.125</v>
      </c>
      <c r="S77" s="11">
        <f>R77*J77</f>
        <v>75</v>
      </c>
    </row>
    <row r="78" spans="2:19" ht="12.75">
      <c r="B78" t="s">
        <v>5</v>
      </c>
      <c r="C78" s="8">
        <v>105000</v>
      </c>
      <c r="D78" s="8">
        <v>55000</v>
      </c>
      <c r="E78">
        <v>10000</v>
      </c>
      <c r="F78" t="s">
        <v>33</v>
      </c>
      <c r="G78" s="11">
        <f>C78/E78</f>
        <v>10.5</v>
      </c>
      <c r="H78" s="11"/>
      <c r="I78" s="10"/>
      <c r="J78">
        <v>600</v>
      </c>
      <c r="L78">
        <v>25</v>
      </c>
      <c r="M78" s="12">
        <f>J78/L78</f>
        <v>24</v>
      </c>
      <c r="N78" s="13">
        <f>M78*G78</f>
        <v>252</v>
      </c>
      <c r="O78">
        <v>0.5</v>
      </c>
      <c r="P78" s="11">
        <f>O78*J78*D68</f>
        <v>555</v>
      </c>
      <c r="Q78" s="11">
        <f>(200/350)*M78</f>
        <v>13.714285714285714</v>
      </c>
      <c r="R78" s="14">
        <f>5000/3000</f>
        <v>1.6666666666666667</v>
      </c>
      <c r="S78" s="11">
        <f aca="true" t="shared" si="2" ref="S78:S87">R78*J78</f>
        <v>1000</v>
      </c>
    </row>
    <row r="79" spans="1:19" ht="12.75">
      <c r="A79" t="s">
        <v>65</v>
      </c>
      <c r="B79" t="s">
        <v>6</v>
      </c>
      <c r="C79" s="8">
        <v>21000</v>
      </c>
      <c r="D79" s="8"/>
      <c r="E79">
        <v>35000</v>
      </c>
      <c r="F79" t="s">
        <v>32</v>
      </c>
      <c r="G79" s="11"/>
      <c r="H79" s="11">
        <f>C79/E79</f>
        <v>0.6</v>
      </c>
      <c r="I79" s="10"/>
      <c r="J79">
        <v>600</v>
      </c>
      <c r="M79" s="12"/>
      <c r="N79" s="13">
        <f>J79*H79</f>
        <v>360</v>
      </c>
      <c r="P79" s="11"/>
      <c r="Q79" s="11"/>
      <c r="R79" s="14">
        <f>500/5000+50/2000</f>
        <v>0.125</v>
      </c>
      <c r="S79" s="11">
        <f t="shared" si="2"/>
        <v>75</v>
      </c>
    </row>
    <row r="80" spans="2:19" ht="12.75">
      <c r="B80" t="s">
        <v>5</v>
      </c>
      <c r="C80" s="8">
        <v>105000</v>
      </c>
      <c r="D80" s="8"/>
      <c r="E80">
        <v>10000</v>
      </c>
      <c r="F80" t="s">
        <v>33</v>
      </c>
      <c r="G80" s="11">
        <f>C80/E80</f>
        <v>10.5</v>
      </c>
      <c r="H80" s="11"/>
      <c r="I80" s="10"/>
      <c r="J80">
        <v>600</v>
      </c>
      <c r="L80">
        <v>22</v>
      </c>
      <c r="M80" s="12">
        <f>J80/L80</f>
        <v>27.272727272727273</v>
      </c>
      <c r="N80" s="13">
        <f>M80*G80</f>
        <v>286.3636363636364</v>
      </c>
      <c r="O80">
        <v>0.75</v>
      </c>
      <c r="P80" s="11">
        <f>O80*J80*D68</f>
        <v>832.5</v>
      </c>
      <c r="Q80" s="11">
        <f>(200/350)*M80</f>
        <v>15.584415584415584</v>
      </c>
      <c r="R80" s="14">
        <f>5000/3000</f>
        <v>1.6666666666666667</v>
      </c>
      <c r="S80" s="11">
        <f t="shared" si="2"/>
        <v>1000</v>
      </c>
    </row>
    <row r="81" spans="2:19" ht="12.75">
      <c r="B81" t="s">
        <v>23</v>
      </c>
      <c r="C81" s="8">
        <v>8500</v>
      </c>
      <c r="D81" s="8">
        <v>3500</v>
      </c>
      <c r="E81">
        <v>40000</v>
      </c>
      <c r="F81" t="s">
        <v>32</v>
      </c>
      <c r="G81" s="11"/>
      <c r="H81" s="11">
        <f>C81/E81</f>
        <v>0.2125</v>
      </c>
      <c r="I81" s="10"/>
      <c r="J81">
        <v>600</v>
      </c>
      <c r="M81" s="12"/>
      <c r="N81" s="13">
        <f>J81*H81</f>
        <v>127.5</v>
      </c>
      <c r="P81" s="11"/>
      <c r="Q81" s="11"/>
      <c r="R81" s="14">
        <f>75/2000</f>
        <v>0.0375</v>
      </c>
      <c r="S81" s="11">
        <f t="shared" si="2"/>
        <v>22.5</v>
      </c>
    </row>
    <row r="82" spans="1:19" ht="12.75">
      <c r="A82" t="s">
        <v>7</v>
      </c>
      <c r="B82" t="s">
        <v>8</v>
      </c>
      <c r="C82" s="8">
        <v>100000</v>
      </c>
      <c r="D82" s="8">
        <v>60000</v>
      </c>
      <c r="E82">
        <v>10000</v>
      </c>
      <c r="F82" t="s">
        <v>33</v>
      </c>
      <c r="G82" s="11">
        <f>C82/E82</f>
        <v>10</v>
      </c>
      <c r="H82" s="11"/>
      <c r="I82" s="10"/>
      <c r="J82">
        <v>600</v>
      </c>
      <c r="L82">
        <v>15</v>
      </c>
      <c r="M82" s="12">
        <f>J82/L82</f>
        <v>40</v>
      </c>
      <c r="N82" s="13">
        <f>M82*G82</f>
        <v>400</v>
      </c>
      <c r="O82">
        <v>0.4</v>
      </c>
      <c r="P82" s="11">
        <f>O82*J82*D68</f>
        <v>444</v>
      </c>
      <c r="Q82" s="11">
        <f>(120/350)*M82</f>
        <v>13.714285714285715</v>
      </c>
      <c r="R82" s="14">
        <f>5000/3000</f>
        <v>1.6666666666666667</v>
      </c>
      <c r="S82" s="11">
        <f t="shared" si="2"/>
        <v>1000</v>
      </c>
    </row>
    <row r="83" spans="2:19" ht="12.75">
      <c r="B83" t="s">
        <v>9</v>
      </c>
      <c r="C83" s="8">
        <v>66000</v>
      </c>
      <c r="D83" s="8">
        <v>45000</v>
      </c>
      <c r="E83">
        <v>35000</v>
      </c>
      <c r="F83" t="s">
        <v>32</v>
      </c>
      <c r="G83" s="11"/>
      <c r="H83" s="11">
        <f>C83/E83</f>
        <v>1.8857142857142857</v>
      </c>
      <c r="I83" s="10"/>
      <c r="J83">
        <v>600</v>
      </c>
      <c r="M83" s="12"/>
      <c r="N83" s="13">
        <f>J83*H83</f>
        <v>1131.4285714285713</v>
      </c>
      <c r="P83" s="11"/>
      <c r="Q83" s="11"/>
      <c r="R83" s="14">
        <f>270*31/7500+20*31/7500+15*31/7500+100/1000</f>
        <v>1.360666666666667</v>
      </c>
      <c r="S83" s="11">
        <f t="shared" si="2"/>
        <v>816.4000000000001</v>
      </c>
    </row>
    <row r="84" spans="1:19" ht="12.75">
      <c r="A84" t="s">
        <v>10</v>
      </c>
      <c r="B84" t="s">
        <v>8</v>
      </c>
      <c r="C84" s="8">
        <v>100000</v>
      </c>
      <c r="E84">
        <v>10000</v>
      </c>
      <c r="F84" t="s">
        <v>33</v>
      </c>
      <c r="G84" s="11">
        <f>C84/E84</f>
        <v>10</v>
      </c>
      <c r="H84" s="11"/>
      <c r="I84" s="10"/>
      <c r="J84">
        <v>900</v>
      </c>
      <c r="L84">
        <v>75</v>
      </c>
      <c r="M84" s="12">
        <f>J84/L84</f>
        <v>12</v>
      </c>
      <c r="N84" s="13">
        <f>M84*G84</f>
        <v>120</v>
      </c>
      <c r="O84">
        <v>0.2</v>
      </c>
      <c r="P84" s="11">
        <f>O84*J84*D68</f>
        <v>333</v>
      </c>
      <c r="Q84" s="11">
        <f>(120/350)*M84</f>
        <v>4.114285714285714</v>
      </c>
      <c r="R84" s="14">
        <f>5000/3000</f>
        <v>1.6666666666666667</v>
      </c>
      <c r="S84" s="11">
        <f t="shared" si="2"/>
        <v>1500</v>
      </c>
    </row>
    <row r="85" spans="2:19" ht="12.75">
      <c r="B85" t="s">
        <v>31</v>
      </c>
      <c r="C85" s="8">
        <v>18000</v>
      </c>
      <c r="D85" s="8">
        <v>15500</v>
      </c>
      <c r="E85">
        <v>100000</v>
      </c>
      <c r="F85" t="s">
        <v>32</v>
      </c>
      <c r="G85" s="11"/>
      <c r="H85" s="11">
        <f>C85/E85</f>
        <v>0.18</v>
      </c>
      <c r="I85" s="10"/>
      <c r="J85">
        <v>900</v>
      </c>
      <c r="M85" s="12"/>
      <c r="N85" s="13">
        <f>J85*H85</f>
        <v>162</v>
      </c>
      <c r="P85" s="11"/>
      <c r="Q85" s="11"/>
      <c r="R85" s="14">
        <f>100/2000</f>
        <v>0.05</v>
      </c>
      <c r="S85" s="11">
        <f t="shared" si="2"/>
        <v>45</v>
      </c>
    </row>
    <row r="86" spans="1:19" ht="12.75">
      <c r="A86" t="s">
        <v>11</v>
      </c>
      <c r="B86" t="s">
        <v>12</v>
      </c>
      <c r="C86" s="8">
        <v>145000</v>
      </c>
      <c r="D86" s="8">
        <v>92000</v>
      </c>
      <c r="E86">
        <v>7500</v>
      </c>
      <c r="F86" t="s">
        <v>33</v>
      </c>
      <c r="G86" s="11">
        <f>C86/E86</f>
        <v>19.333333333333332</v>
      </c>
      <c r="H86" s="11"/>
      <c r="I86" s="10"/>
      <c r="J86">
        <v>600</v>
      </c>
      <c r="L86">
        <v>10</v>
      </c>
      <c r="M86" s="12">
        <f>J86/L86</f>
        <v>60</v>
      </c>
      <c r="N86" s="13">
        <f>M86*G86</f>
        <v>1160</v>
      </c>
      <c r="O86">
        <v>1.5</v>
      </c>
      <c r="P86" s="11">
        <f>O86*J86*D68</f>
        <v>1665</v>
      </c>
      <c r="Q86" s="11">
        <f>(250/200)*M86</f>
        <v>75</v>
      </c>
      <c r="R86" s="14">
        <f>5000/1500+500/200</f>
        <v>5.833333333333334</v>
      </c>
      <c r="S86" s="11">
        <f t="shared" si="2"/>
        <v>3500.0000000000005</v>
      </c>
    </row>
    <row r="87" spans="2:19" ht="12.75">
      <c r="B87" t="s">
        <v>62</v>
      </c>
      <c r="C87" s="8">
        <v>25000</v>
      </c>
      <c r="D87" s="8">
        <v>15000</v>
      </c>
      <c r="E87">
        <v>25000</v>
      </c>
      <c r="F87" t="s">
        <v>32</v>
      </c>
      <c r="G87" s="11"/>
      <c r="H87" s="11">
        <f>C87/E87</f>
        <v>1</v>
      </c>
      <c r="I87" s="10"/>
      <c r="J87">
        <v>600</v>
      </c>
      <c r="M87" s="12"/>
      <c r="N87" s="13">
        <f>J87*H87</f>
        <v>600</v>
      </c>
      <c r="P87" s="11"/>
      <c r="Q87" s="11"/>
      <c r="R87" s="14">
        <f>200/500</f>
        <v>0.4</v>
      </c>
      <c r="S87" s="11">
        <f t="shared" si="2"/>
        <v>240</v>
      </c>
    </row>
    <row r="88" spans="1:19" ht="12.75">
      <c r="A88" t="s">
        <v>18</v>
      </c>
      <c r="B88" t="s">
        <v>19</v>
      </c>
      <c r="C88" s="8">
        <v>60000</v>
      </c>
      <c r="D88" s="8">
        <v>15000</v>
      </c>
      <c r="E88">
        <v>1000000</v>
      </c>
      <c r="F88" t="s">
        <v>34</v>
      </c>
      <c r="G88" s="11"/>
      <c r="H88" s="11"/>
      <c r="I88" s="10">
        <f>C88/E88</f>
        <v>0.06</v>
      </c>
      <c r="K88">
        <v>1500</v>
      </c>
      <c r="M88" s="12"/>
      <c r="N88" s="13">
        <f>K88*I88</f>
        <v>90</v>
      </c>
      <c r="O88">
        <v>4</v>
      </c>
      <c r="P88" s="11">
        <f>K88/O88*D68</f>
        <v>693.75</v>
      </c>
      <c r="Q88" s="11">
        <f>(100/7000)*K88</f>
        <v>21.428571428571427</v>
      </c>
      <c r="R88" s="14">
        <f>300/7000+500/7000</f>
        <v>0.11428571428571428</v>
      </c>
      <c r="S88" s="11">
        <f>R88*K88</f>
        <v>171.42857142857142</v>
      </c>
    </row>
    <row r="89" spans="2:19" ht="12.75">
      <c r="B89" t="s">
        <v>25</v>
      </c>
      <c r="C89" s="8">
        <v>22700</v>
      </c>
      <c r="D89" s="8">
        <v>15000</v>
      </c>
      <c r="E89">
        <v>1000000</v>
      </c>
      <c r="F89" t="s">
        <v>34</v>
      </c>
      <c r="G89" s="11"/>
      <c r="H89" s="11"/>
      <c r="I89" s="10">
        <f>C89/E89</f>
        <v>0.0227</v>
      </c>
      <c r="K89">
        <v>1500</v>
      </c>
      <c r="M89" s="12"/>
      <c r="N89" s="13">
        <f>K89*I89</f>
        <v>34.050000000000004</v>
      </c>
      <c r="P89" s="11"/>
      <c r="Q89" s="11"/>
      <c r="R89" s="14">
        <f>300/7000+500/7000</f>
        <v>0.11428571428571428</v>
      </c>
      <c r="S89" s="11">
        <f>R89*K89</f>
        <v>171.42857142857142</v>
      </c>
    </row>
    <row r="90" spans="1:19" ht="12.75">
      <c r="A90" t="s">
        <v>27</v>
      </c>
      <c r="B90" t="s">
        <v>5</v>
      </c>
      <c r="C90" s="8">
        <v>105000</v>
      </c>
      <c r="D90" s="8"/>
      <c r="E90">
        <v>10000</v>
      </c>
      <c r="F90" t="s">
        <v>33</v>
      </c>
      <c r="G90" s="11">
        <f>C90/E90</f>
        <v>10.5</v>
      </c>
      <c r="H90" s="11"/>
      <c r="I90" s="10"/>
      <c r="J90">
        <v>600</v>
      </c>
      <c r="L90">
        <v>12</v>
      </c>
      <c r="M90" s="12">
        <f>J90/L90</f>
        <v>50</v>
      </c>
      <c r="N90" s="13">
        <f>M90*G90</f>
        <v>525</v>
      </c>
      <c r="O90">
        <v>1.25</v>
      </c>
      <c r="P90" s="11">
        <f>O90*J90*D68</f>
        <v>1387.5</v>
      </c>
      <c r="Q90" s="11">
        <f>(200/350)*M90</f>
        <v>28.57142857142857</v>
      </c>
      <c r="R90" s="14">
        <f>5000/3000</f>
        <v>1.6666666666666667</v>
      </c>
      <c r="S90" s="11">
        <f>R90*J90</f>
        <v>1000</v>
      </c>
    </row>
    <row r="91" spans="2:19" ht="12.75">
      <c r="B91" t="s">
        <v>17</v>
      </c>
      <c r="C91" s="8">
        <v>18000</v>
      </c>
      <c r="D91" s="8">
        <v>4000</v>
      </c>
      <c r="E91">
        <v>25000</v>
      </c>
      <c r="F91" t="s">
        <v>32</v>
      </c>
      <c r="G91" s="11"/>
      <c r="H91" s="11">
        <f>C91/E91</f>
        <v>0.72</v>
      </c>
      <c r="I91" s="10"/>
      <c r="J91">
        <v>600</v>
      </c>
      <c r="M91" s="12"/>
      <c r="N91" s="13">
        <f>J91*H91</f>
        <v>432</v>
      </c>
      <c r="P91" s="11"/>
      <c r="Q91" s="11"/>
      <c r="R91" s="14">
        <f>300/2000+50/1000+75/1000</f>
        <v>0.275</v>
      </c>
      <c r="S91" s="11">
        <f>R91*J91</f>
        <v>165</v>
      </c>
    </row>
    <row r="92" spans="1:19" ht="12.75">
      <c r="A92" t="s">
        <v>20</v>
      </c>
      <c r="B92" t="s">
        <v>5</v>
      </c>
      <c r="C92" s="8">
        <v>105000</v>
      </c>
      <c r="D92" s="8"/>
      <c r="E92">
        <v>10000</v>
      </c>
      <c r="F92" t="s">
        <v>33</v>
      </c>
      <c r="G92" s="11">
        <f>C92/E92</f>
        <v>10.5</v>
      </c>
      <c r="H92" s="11"/>
      <c r="I92" s="10"/>
      <c r="J92">
        <v>600</v>
      </c>
      <c r="L92">
        <v>12</v>
      </c>
      <c r="M92" s="12">
        <f>J92/L92</f>
        <v>50</v>
      </c>
      <c r="N92" s="13">
        <f>M92*G92</f>
        <v>525</v>
      </c>
      <c r="O92">
        <v>1.25</v>
      </c>
      <c r="P92" s="11">
        <f>O92*J92*D68</f>
        <v>1387.5</v>
      </c>
      <c r="Q92" s="11">
        <f>(200/350)*M92</f>
        <v>28.57142857142857</v>
      </c>
      <c r="R92" s="14">
        <f>5000/3000</f>
        <v>1.6666666666666667</v>
      </c>
      <c r="S92" s="11">
        <f>R92*J92</f>
        <v>1000</v>
      </c>
    </row>
    <row r="93" spans="2:19" ht="12.75">
      <c r="B93" t="s">
        <v>17</v>
      </c>
      <c r="C93" s="8">
        <v>18000</v>
      </c>
      <c r="D93" s="8"/>
      <c r="E93">
        <v>25000</v>
      </c>
      <c r="F93" t="s">
        <v>32</v>
      </c>
      <c r="G93" s="11"/>
      <c r="H93" s="11">
        <f>C93/E93</f>
        <v>0.72</v>
      </c>
      <c r="I93" s="10"/>
      <c r="J93">
        <v>600</v>
      </c>
      <c r="M93" s="12"/>
      <c r="N93" s="13">
        <f>J93*H93</f>
        <v>432</v>
      </c>
      <c r="Q93" s="11"/>
      <c r="R93" s="14">
        <f>300/2000+50/1000+75/1000</f>
        <v>0.275</v>
      </c>
      <c r="S93" s="11">
        <f>R93*J93</f>
        <v>165</v>
      </c>
    </row>
    <row r="94" ht="12.75">
      <c r="I94" s="10"/>
    </row>
    <row r="95" spans="1:13" ht="13.5" thickBot="1">
      <c r="A95" s="15" t="s">
        <v>42</v>
      </c>
      <c r="C95" s="4"/>
      <c r="M95" s="12"/>
    </row>
    <row r="96" spans="1:3" ht="12.75">
      <c r="A96" s="5" t="s">
        <v>44</v>
      </c>
      <c r="B96" s="11">
        <f>SUM(D77:D93)</f>
        <v>337000</v>
      </c>
      <c r="C96" s="11"/>
    </row>
    <row r="97" spans="1:13" ht="12.75">
      <c r="A97" s="5" t="s">
        <v>35</v>
      </c>
      <c r="B97" s="11">
        <f>SUM(N77:N93)</f>
        <v>6997.342207792208</v>
      </c>
      <c r="M97" s="1"/>
    </row>
    <row r="98" spans="1:2" ht="12.75">
      <c r="A98" s="5" t="s">
        <v>38</v>
      </c>
      <c r="B98" s="11">
        <f>SUM(P77:P93)</f>
        <v>7298.25</v>
      </c>
    </row>
    <row r="99" spans="1:2" ht="12.75">
      <c r="A99" s="5" t="s">
        <v>39</v>
      </c>
      <c r="B99" s="11">
        <f>SUM(Q77:Q93)</f>
        <v>200.69870129870128</v>
      </c>
    </row>
    <row r="100" spans="1:2" ht="12.75">
      <c r="A100" s="5" t="s">
        <v>66</v>
      </c>
      <c r="B100" s="11">
        <f>SUM(S77:S93)</f>
        <v>11946.757142857141</v>
      </c>
    </row>
    <row r="101" spans="1:2" ht="12.75">
      <c r="A101" s="5" t="s">
        <v>60</v>
      </c>
      <c r="B101" s="12">
        <v>405</v>
      </c>
    </row>
    <row r="104" ht="12.75">
      <c r="A104" s="1" t="s">
        <v>3</v>
      </c>
    </row>
    <row r="106" spans="1:2" ht="12.75">
      <c r="A106" s="1" t="s">
        <v>46</v>
      </c>
      <c r="B106" s="6" t="s">
        <v>47</v>
      </c>
    </row>
    <row r="107" ht="12.75">
      <c r="A107" s="22" t="s">
        <v>45</v>
      </c>
    </row>
    <row r="108" spans="1:2" ht="12.75">
      <c r="A108" s="23" t="s">
        <v>49</v>
      </c>
      <c r="B108" s="11">
        <f>SUM(P77:P93)</f>
        <v>7298.25</v>
      </c>
    </row>
    <row r="109" spans="1:2" ht="12.75">
      <c r="A109" s="23" t="s">
        <v>50</v>
      </c>
      <c r="B109" s="11">
        <f>SUM(Q77:Q93)</f>
        <v>200.69870129870128</v>
      </c>
    </row>
    <row r="110" spans="1:2" ht="12.75">
      <c r="A110" s="23" t="s">
        <v>67</v>
      </c>
      <c r="B110" s="11">
        <f>SUM(S77:S93)</f>
        <v>11946.757142857141</v>
      </c>
    </row>
    <row r="111" spans="1:2" ht="12.75">
      <c r="A111" s="23" t="s">
        <v>59</v>
      </c>
      <c r="B111" s="11">
        <v>250</v>
      </c>
    </row>
    <row r="112" spans="1:2" ht="12.75">
      <c r="A112" s="1" t="s">
        <v>51</v>
      </c>
      <c r="B112" s="11">
        <f>SUM(B108:B111)</f>
        <v>19695.70584415584</v>
      </c>
    </row>
    <row r="113" ht="12.75">
      <c r="A113" s="22" t="s">
        <v>52</v>
      </c>
    </row>
    <row r="114" spans="1:2" ht="12.75">
      <c r="A114" s="23" t="s">
        <v>48</v>
      </c>
      <c r="B114" s="11">
        <f>SUM(N77:N93)</f>
        <v>6997.342207792208</v>
      </c>
    </row>
    <row r="115" spans="1:2" ht="12.75">
      <c r="A115" s="1" t="s">
        <v>53</v>
      </c>
      <c r="B115" s="11">
        <f>B114</f>
        <v>6997.342207792208</v>
      </c>
    </row>
    <row r="116" spans="1:2" ht="12.75">
      <c r="A116" s="1" t="s">
        <v>57</v>
      </c>
      <c r="B116" s="11">
        <f>SUM(B112+B115)</f>
        <v>26693.048051948048</v>
      </c>
    </row>
    <row r="117" ht="12.75">
      <c r="A117" s="22" t="s">
        <v>54</v>
      </c>
    </row>
    <row r="118" spans="1:2" ht="12.75">
      <c r="A118" t="s">
        <v>68</v>
      </c>
      <c r="B118" s="11">
        <v>10000</v>
      </c>
    </row>
    <row r="119" spans="1:2" ht="12.75">
      <c r="A119" s="1" t="s">
        <v>55</v>
      </c>
      <c r="B119" s="11">
        <f>SUM(B118:B118)</f>
        <v>10000</v>
      </c>
    </row>
    <row r="120" spans="1:2" ht="12.75">
      <c r="A120" s="1" t="s">
        <v>56</v>
      </c>
      <c r="B120" s="11">
        <f>SUM(B116+B119)</f>
        <v>36693.04805194805</v>
      </c>
    </row>
    <row r="121" spans="1:2" ht="12.75">
      <c r="A121" s="1" t="s">
        <v>58</v>
      </c>
      <c r="B121" s="11">
        <f>B120/600</f>
        <v>61.15508008658008</v>
      </c>
    </row>
    <row r="125" spans="1:2" ht="12.75">
      <c r="A125" s="1" t="s">
        <v>69</v>
      </c>
      <c r="B125" s="11">
        <f>B118/B101</f>
        <v>24.691358024691358</v>
      </c>
    </row>
  </sheetData>
  <mergeCells count="2">
    <mergeCell ref="A6:B6"/>
    <mergeCell ref="A72:B72"/>
  </mergeCells>
  <printOptions/>
  <pageMargins left="0.75" right="0.75" top="1" bottom="1" header="0.5" footer="0.5"/>
  <pageSetup fitToWidth="2" fitToHeight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David Saxowsky</cp:lastModifiedBy>
  <cp:lastPrinted>2005-04-11T17:35:46Z</cp:lastPrinted>
  <dcterms:created xsi:type="dcterms:W3CDTF">2005-04-04T19:06:27Z</dcterms:created>
  <dcterms:modified xsi:type="dcterms:W3CDTF">2005-04-20T13:03:30Z</dcterms:modified>
  <cp:category/>
  <cp:version/>
  <cp:contentType/>
  <cp:contentStatus/>
</cp:coreProperties>
</file>