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checkCompatibility="1"/>
  <mc:AlternateContent xmlns:mc="http://schemas.openxmlformats.org/markup-compatibility/2006">
    <mc:Choice Requires="x15">
      <x15ac:absPath xmlns:x15ac="http://schemas.microsoft.com/office/spreadsheetml/2010/11/ac" url="C:\Users\sonja.fuchs\Desktop\Temp files to delete\"/>
    </mc:Choice>
  </mc:AlternateContent>
  <xr:revisionPtr revIDLastSave="0" documentId="8_{FFD89373-46E6-4EE2-956F-30B0690D022F}" xr6:coauthVersionLast="47" xr6:coauthVersionMax="47" xr10:uidLastSave="{00000000-0000-0000-0000-000000000000}"/>
  <workbookProtection lockStructure="1"/>
  <bookViews>
    <workbookView xWindow="-120" yWindow="-120" windowWidth="29040" windowHeight="17640" xr2:uid="{00000000-000D-0000-FFFF-FFFF00000000}"/>
  </bookViews>
  <sheets>
    <sheet name="Example" sheetId="1" r:id="rId1"/>
    <sheet name="Cost by Month" sheetId="4" r:id="rId2"/>
    <sheet name="Graphs" sheetId="3" r:id="rId3"/>
    <sheet name="Misc" sheetId="5" r:id="rId4"/>
  </sheets>
  <definedNames>
    <definedName name="Months">Misc!$B$2:$B$13</definedName>
    <definedName name="_xlnm.Print_Area" localSheetId="0">Example!$B$1:$R$66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4" l="1"/>
  <c r="I22" i="4"/>
  <c r="E22" i="4"/>
  <c r="D45" i="1" l="1"/>
  <c r="E14" i="1" l="1"/>
  <c r="L21" i="4" l="1"/>
  <c r="H21" i="4"/>
  <c r="D21" i="4"/>
  <c r="M1" i="5"/>
  <c r="K1" i="5"/>
  <c r="I1" i="5"/>
  <c r="G1" i="5"/>
  <c r="F1" i="5"/>
  <c r="E1" i="5"/>
  <c r="Y2" i="4"/>
  <c r="T2" i="4"/>
  <c r="O2" i="4"/>
  <c r="AC17" i="4"/>
  <c r="AC16" i="4"/>
  <c r="AC15" i="4"/>
  <c r="AC14" i="4"/>
  <c r="AC13" i="4"/>
  <c r="AC12" i="4"/>
  <c r="AC11" i="4"/>
  <c r="AC10" i="4"/>
  <c r="AC9" i="4"/>
  <c r="AC8" i="4"/>
  <c r="AC7" i="4"/>
  <c r="AC6" i="4"/>
  <c r="X17" i="4"/>
  <c r="X16" i="4"/>
  <c r="X15" i="4"/>
  <c r="X14" i="4"/>
  <c r="X13" i="4"/>
  <c r="X12" i="4"/>
  <c r="X11" i="4"/>
  <c r="X10" i="4"/>
  <c r="X9" i="4"/>
  <c r="X8" i="4"/>
  <c r="X7" i="4"/>
  <c r="X6" i="4"/>
  <c r="S7" i="4" l="1"/>
  <c r="S8" i="4"/>
  <c r="S9" i="4"/>
  <c r="S10" i="4"/>
  <c r="S11" i="4"/>
  <c r="S12" i="4"/>
  <c r="S13" i="4"/>
  <c r="S14" i="4"/>
  <c r="S15" i="4"/>
  <c r="S16" i="4"/>
  <c r="S17" i="4"/>
  <c r="S6" i="4"/>
  <c r="E2" i="5"/>
  <c r="E3" i="5" s="1"/>
  <c r="F2" i="5"/>
  <c r="F3" i="5" s="1"/>
  <c r="G2" i="5"/>
  <c r="G3" i="5" s="1"/>
  <c r="G4" i="5" s="1"/>
  <c r="G5" i="5" s="1"/>
  <c r="G6" i="5" s="1"/>
  <c r="G7" i="5" s="1"/>
  <c r="G8" i="5" s="1"/>
  <c r="G9" i="5" s="1"/>
  <c r="G10" i="5" s="1"/>
  <c r="G11" i="5" s="1"/>
  <c r="G12" i="5" s="1"/>
  <c r="G13" i="5" s="1"/>
  <c r="K17" i="4" s="1"/>
  <c r="Y17" i="4" l="1"/>
  <c r="Z17" i="4" s="1"/>
  <c r="K35" i="4"/>
  <c r="C6" i="4"/>
  <c r="C7" i="4"/>
  <c r="E4" i="5"/>
  <c r="G7" i="4"/>
  <c r="F4" i="5"/>
  <c r="G6" i="4"/>
  <c r="K6" i="4"/>
  <c r="K10" i="4"/>
  <c r="K9" i="4"/>
  <c r="K14" i="4"/>
  <c r="K13" i="4"/>
  <c r="K16" i="4"/>
  <c r="K12" i="4"/>
  <c r="K8" i="4"/>
  <c r="K15" i="4"/>
  <c r="K11" i="4"/>
  <c r="K7" i="4"/>
  <c r="Y11" i="4" l="1"/>
  <c r="Z11" i="4" s="1"/>
  <c r="K29" i="4"/>
  <c r="Y8" i="4"/>
  <c r="Z8" i="4" s="1"/>
  <c r="K26" i="4"/>
  <c r="Y14" i="4"/>
  <c r="Z14" i="4" s="1"/>
  <c r="K32" i="4"/>
  <c r="T6" i="4"/>
  <c r="U6" i="4" s="1"/>
  <c r="G24" i="4"/>
  <c r="O7" i="4"/>
  <c r="P7" i="4" s="1"/>
  <c r="C25" i="4"/>
  <c r="Y7" i="4"/>
  <c r="Z7" i="4" s="1"/>
  <c r="K25" i="4"/>
  <c r="Y12" i="4"/>
  <c r="Z12" i="4" s="1"/>
  <c r="K30" i="4"/>
  <c r="Y9" i="4"/>
  <c r="Z9" i="4" s="1"/>
  <c r="K27" i="4"/>
  <c r="O6" i="4"/>
  <c r="P6" i="4" s="1"/>
  <c r="C24" i="4"/>
  <c r="Y16" i="4"/>
  <c r="Z16" i="4" s="1"/>
  <c r="K34" i="4"/>
  <c r="Y10" i="4"/>
  <c r="Z10" i="4" s="1"/>
  <c r="K28" i="4"/>
  <c r="T7" i="4"/>
  <c r="U7" i="4" s="1"/>
  <c r="G25" i="4"/>
  <c r="Y15" i="4"/>
  <c r="Z15" i="4" s="1"/>
  <c r="K33" i="4"/>
  <c r="Y13" i="4"/>
  <c r="Z13" i="4" s="1"/>
  <c r="K31" i="4"/>
  <c r="Y6" i="4"/>
  <c r="Z6" i="4" s="1"/>
  <c r="K24" i="4"/>
  <c r="C8" i="4"/>
  <c r="E5" i="5"/>
  <c r="G8" i="4"/>
  <c r="F5" i="5"/>
  <c r="O8" i="4" l="1"/>
  <c r="P8" i="4" s="1"/>
  <c r="C26" i="4"/>
  <c r="T8" i="4"/>
  <c r="U8" i="4" s="1"/>
  <c r="G26" i="4"/>
  <c r="C9" i="4"/>
  <c r="E6" i="5"/>
  <c r="F6" i="5"/>
  <c r="G9" i="4"/>
  <c r="T9" i="4" l="1"/>
  <c r="U9" i="4" s="1"/>
  <c r="G27" i="4"/>
  <c r="O9" i="4"/>
  <c r="P9" i="4" s="1"/>
  <c r="C27" i="4"/>
  <c r="C10" i="4"/>
  <c r="E7" i="5"/>
  <c r="F7" i="5"/>
  <c r="G10" i="4"/>
  <c r="O10" i="4" l="1"/>
  <c r="P10" i="4" s="1"/>
  <c r="C28" i="4"/>
  <c r="T10" i="4"/>
  <c r="U10" i="4" s="1"/>
  <c r="G28" i="4"/>
  <c r="E8" i="5"/>
  <c r="C11" i="4"/>
  <c r="F8" i="5"/>
  <c r="G11" i="4"/>
  <c r="T11" i="4" l="1"/>
  <c r="U11" i="4" s="1"/>
  <c r="G29" i="4"/>
  <c r="O11" i="4"/>
  <c r="P11" i="4" s="1"/>
  <c r="C29" i="4"/>
  <c r="E9" i="5"/>
  <c r="C12" i="4"/>
  <c r="F9" i="5"/>
  <c r="G12" i="4"/>
  <c r="O12" i="4" l="1"/>
  <c r="P12" i="4" s="1"/>
  <c r="C30" i="4"/>
  <c r="T12" i="4"/>
  <c r="U12" i="4" s="1"/>
  <c r="G30" i="4"/>
  <c r="E10" i="5"/>
  <c r="C13" i="4"/>
  <c r="F10" i="5"/>
  <c r="G13" i="4"/>
  <c r="O13" i="4" l="1"/>
  <c r="P13" i="4" s="1"/>
  <c r="C31" i="4"/>
  <c r="T13" i="4"/>
  <c r="U13" i="4" s="1"/>
  <c r="G31" i="4"/>
  <c r="E11" i="5"/>
  <c r="C14" i="4"/>
  <c r="F11" i="5"/>
  <c r="G14" i="4"/>
  <c r="T14" i="4" l="1"/>
  <c r="U14" i="4" s="1"/>
  <c r="G32" i="4"/>
  <c r="O14" i="4"/>
  <c r="P14" i="4" s="1"/>
  <c r="C32" i="4"/>
  <c r="E12" i="5"/>
  <c r="C15" i="4"/>
  <c r="F12" i="5"/>
  <c r="G15" i="4"/>
  <c r="T15" i="4" l="1"/>
  <c r="U15" i="4" s="1"/>
  <c r="G33" i="4"/>
  <c r="O15" i="4"/>
  <c r="P15" i="4" s="1"/>
  <c r="C33" i="4"/>
  <c r="E13" i="5"/>
  <c r="C17" i="4" s="1"/>
  <c r="C16" i="4"/>
  <c r="F13" i="5"/>
  <c r="G17" i="4" s="1"/>
  <c r="G16" i="4"/>
  <c r="O16" i="4" l="1"/>
  <c r="P16" i="4" s="1"/>
  <c r="C34" i="4"/>
  <c r="O17" i="4"/>
  <c r="P17" i="4" s="1"/>
  <c r="C35" i="4"/>
  <c r="T16" i="4"/>
  <c r="U16" i="4" s="1"/>
  <c r="G34" i="4"/>
  <c r="T17" i="4"/>
  <c r="U17" i="4" s="1"/>
  <c r="G35" i="4"/>
  <c r="L3" i="4"/>
  <c r="H3" i="4"/>
  <c r="D3" i="4"/>
  <c r="D43" i="1" l="1"/>
  <c r="D46" i="1"/>
  <c r="G42" i="1"/>
  <c r="D51" i="1"/>
  <c r="D44" i="1"/>
  <c r="J42" i="1"/>
  <c r="D42" i="1"/>
  <c r="D41" i="1"/>
  <c r="D40" i="1"/>
  <c r="D7" i="4" l="1"/>
  <c r="D25" i="4" s="1"/>
  <c r="D16" i="4"/>
  <c r="D34" i="4" s="1"/>
  <c r="D6" i="4"/>
  <c r="D24" i="4" s="1"/>
  <c r="D13" i="4"/>
  <c r="D31" i="4" s="1"/>
  <c r="D15" i="4"/>
  <c r="D33" i="4" s="1"/>
  <c r="D9" i="4"/>
  <c r="D27" i="4" s="1"/>
  <c r="D8" i="4"/>
  <c r="D26" i="4" s="1"/>
  <c r="D14" i="4"/>
  <c r="D32" i="4" s="1"/>
  <c r="D17" i="4"/>
  <c r="D35" i="4" s="1"/>
  <c r="D11" i="4"/>
  <c r="D29" i="4" s="1"/>
  <c r="D12" i="4"/>
  <c r="D30" i="4" s="1"/>
  <c r="D10" i="4"/>
  <c r="D28" i="4" s="1"/>
  <c r="J44" i="1"/>
  <c r="J43" i="1"/>
  <c r="J40" i="1"/>
  <c r="K16" i="1"/>
  <c r="K39" i="1" s="1"/>
  <c r="K14" i="1"/>
  <c r="K13" i="1"/>
  <c r="K42" i="1" l="1"/>
  <c r="G15" i="1" l="1"/>
  <c r="K15" i="1" l="1"/>
  <c r="J15" i="1"/>
  <c r="H16" i="1"/>
  <c r="H39" i="1" s="1"/>
  <c r="H14" i="1"/>
  <c r="H15" i="1"/>
  <c r="G40" i="1"/>
  <c r="G43" i="1"/>
  <c r="G44" i="1"/>
  <c r="G33" i="1"/>
  <c r="G45" i="1" s="1"/>
  <c r="G35" i="1"/>
  <c r="E16" i="1"/>
  <c r="E39" i="1" s="1"/>
  <c r="E15" i="1"/>
  <c r="G36" i="1"/>
  <c r="J36" i="1" s="1"/>
  <c r="G51" i="1"/>
  <c r="H13" i="1"/>
  <c r="E13" i="1"/>
  <c r="C60" i="1"/>
  <c r="E14" i="4" l="1"/>
  <c r="I9" i="4"/>
  <c r="I13" i="4"/>
  <c r="I14" i="4"/>
  <c r="I11" i="4"/>
  <c r="I16" i="4"/>
  <c r="M9" i="4"/>
  <c r="M27" i="4" s="1"/>
  <c r="M11" i="4"/>
  <c r="M17" i="4"/>
  <c r="M10" i="4"/>
  <c r="M28" i="4" s="1"/>
  <c r="M12" i="4"/>
  <c r="M14" i="4"/>
  <c r="M16" i="4"/>
  <c r="M15" i="4"/>
  <c r="M33" i="4" s="1"/>
  <c r="M13" i="4"/>
  <c r="M31" i="4" s="1"/>
  <c r="H51" i="1"/>
  <c r="M29" i="4"/>
  <c r="M7" i="4"/>
  <c r="M25" i="4" s="1"/>
  <c r="M32" i="4"/>
  <c r="M6" i="4"/>
  <c r="M24" i="4" s="1"/>
  <c r="M35" i="4"/>
  <c r="M34" i="4"/>
  <c r="M30" i="4"/>
  <c r="M8" i="4"/>
  <c r="M26" i="4" s="1"/>
  <c r="K51" i="1"/>
  <c r="K41" i="1"/>
  <c r="K47" i="1" s="1"/>
  <c r="J51" i="1"/>
  <c r="J41" i="1"/>
  <c r="H42" i="1"/>
  <c r="E42" i="1"/>
  <c r="G46" i="1"/>
  <c r="H14" i="4" s="1"/>
  <c r="J35" i="1"/>
  <c r="J46" i="1" s="1"/>
  <c r="J33" i="1"/>
  <c r="J45" i="1" s="1"/>
  <c r="L11" i="4" s="1"/>
  <c r="E51" i="1"/>
  <c r="E41" i="1"/>
  <c r="G41" i="1"/>
  <c r="H41" i="1"/>
  <c r="D47" i="1"/>
  <c r="E32" i="4" l="1"/>
  <c r="E9" i="4"/>
  <c r="I28" i="4"/>
  <c r="I12" i="4"/>
  <c r="I30" i="4" s="1"/>
  <c r="I10" i="4"/>
  <c r="E11" i="4"/>
  <c r="E10" i="4"/>
  <c r="E28" i="4" s="1"/>
  <c r="I15" i="4"/>
  <c r="I33" i="4" s="1"/>
  <c r="I17" i="4"/>
  <c r="E13" i="4"/>
  <c r="E16" i="4"/>
  <c r="E34" i="4" s="1"/>
  <c r="E15" i="4"/>
  <c r="E33" i="4" s="1"/>
  <c r="E17" i="4"/>
  <c r="E12" i="4"/>
  <c r="L10" i="4"/>
  <c r="L28" i="4" s="1"/>
  <c r="H6" i="4"/>
  <c r="H24" i="4" s="1"/>
  <c r="H12" i="4"/>
  <c r="H30" i="4" s="1"/>
  <c r="H17" i="4"/>
  <c r="H35" i="4" s="1"/>
  <c r="I29" i="4"/>
  <c r="I6" i="4"/>
  <c r="I24" i="4" s="1"/>
  <c r="L9" i="4"/>
  <c r="L27" i="4" s="1"/>
  <c r="L12" i="4"/>
  <c r="L30" i="4" s="1"/>
  <c r="H7" i="4"/>
  <c r="H25" i="4" s="1"/>
  <c r="H11" i="4"/>
  <c r="H29" i="4" s="1"/>
  <c r="L8" i="4"/>
  <c r="L26" i="4" s="1"/>
  <c r="L17" i="4"/>
  <c r="L35" i="4" s="1"/>
  <c r="L15" i="4"/>
  <c r="L33" i="4" s="1"/>
  <c r="H9" i="4"/>
  <c r="H27" i="4" s="1"/>
  <c r="H15" i="4"/>
  <c r="H33" i="4" s="1"/>
  <c r="L14" i="4"/>
  <c r="L32" i="4" s="1"/>
  <c r="L7" i="4"/>
  <c r="L25" i="4" s="1"/>
  <c r="L16" i="4"/>
  <c r="L34" i="4" s="1"/>
  <c r="H10" i="4"/>
  <c r="H28" i="4" s="1"/>
  <c r="H16" i="4"/>
  <c r="H34" i="4" s="1"/>
  <c r="H13" i="4"/>
  <c r="H31" i="4" s="1"/>
  <c r="L6" i="4"/>
  <c r="L24" i="4" s="1"/>
  <c r="L13" i="4"/>
  <c r="L31" i="4" s="1"/>
  <c r="H8" i="4"/>
  <c r="H26" i="4" s="1"/>
  <c r="I34" i="4"/>
  <c r="I8" i="4"/>
  <c r="I26" i="4" s="1"/>
  <c r="I7" i="4"/>
  <c r="I25" i="4" s="1"/>
  <c r="I32" i="4"/>
  <c r="E35" i="4"/>
  <c r="E27" i="4"/>
  <c r="E47" i="1"/>
  <c r="E54" i="1" s="1"/>
  <c r="E31" i="4"/>
  <c r="I31" i="4"/>
  <c r="E7" i="4"/>
  <c r="E25" i="4" s="1"/>
  <c r="E29" i="4"/>
  <c r="L29" i="4"/>
  <c r="H32" i="4"/>
  <c r="I35" i="4"/>
  <c r="E8" i="4"/>
  <c r="E26" i="4" s="1"/>
  <c r="E30" i="4"/>
  <c r="I27" i="4"/>
  <c r="E6" i="4"/>
  <c r="E24" i="4" s="1"/>
  <c r="H47" i="1"/>
  <c r="H49" i="1" s="1"/>
  <c r="K49" i="1"/>
  <c r="K52" i="1"/>
  <c r="K54" i="1"/>
  <c r="G47" i="1"/>
  <c r="G49" i="1" s="1"/>
  <c r="D49" i="1"/>
  <c r="D54" i="1"/>
  <c r="J47" i="1"/>
  <c r="J49" i="1" s="1"/>
  <c r="D52" i="1"/>
  <c r="E52" i="1" l="1"/>
  <c r="E49" i="1"/>
  <c r="G54" i="1"/>
  <c r="H52" i="1"/>
  <c r="H54" i="1"/>
  <c r="G52" i="1"/>
  <c r="J52" i="1"/>
  <c r="J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William Edwards</author>
    <author>Frayne Olson</author>
  </authors>
  <commentList>
    <comment ref="C7" authorId="0" shapeId="0" xr:uid="{00000000-0006-0000-0000-000001000000}">
      <text>
        <r>
          <rPr>
            <sz val="8"/>
            <color indexed="81"/>
            <rFont val="Tahoma"/>
            <family val="2"/>
          </rPr>
          <t>Place the cursor over cells with red triangles to read comments.</t>
        </r>
      </text>
    </comment>
    <comment ref="D14" authorId="1" shapeId="0" xr:uid="{00000000-0006-0000-0000-000002000000}">
      <text>
        <r>
          <rPr>
            <sz val="8"/>
            <color indexed="81"/>
            <rFont val="Tahoma"/>
            <family val="2"/>
          </rPr>
          <t>Selling price that could be obtained without storage.</t>
        </r>
      </text>
    </comment>
    <comment ref="G14" authorId="1" shapeId="0" xr:uid="{00000000-0006-0000-0000-000003000000}">
      <text>
        <r>
          <rPr>
            <sz val="8"/>
            <color indexed="81"/>
            <rFont val="Tahoma"/>
            <family val="2"/>
          </rPr>
          <t>Selling price that could be obtained without storage.</t>
        </r>
      </text>
    </comment>
    <comment ref="J14" authorId="1" shapeId="0" xr:uid="{00000000-0006-0000-0000-000004000000}">
      <text>
        <r>
          <rPr>
            <sz val="8"/>
            <color indexed="81"/>
            <rFont val="Tahoma"/>
            <family val="2"/>
          </rPr>
          <t>Selling price that could be obtained without storage.</t>
        </r>
      </text>
    </comment>
    <comment ref="D15" authorId="1" shapeId="0" xr:uid="{00000000-0006-0000-0000-000005000000}">
      <text>
        <r>
          <rPr>
            <sz val="8"/>
            <color indexed="81"/>
            <rFont val="Tahoma"/>
            <family val="2"/>
          </rPr>
          <t>Interest rate on operating credit line or 
that could be obtained on savings.</t>
        </r>
      </text>
    </comment>
    <comment ref="D16" authorId="1" shapeId="0" xr:uid="{00000000-0006-0000-0000-000006000000}">
      <text>
        <r>
          <rPr>
            <sz val="8"/>
            <color indexed="81"/>
            <rFont val="Tahoma"/>
            <family val="2"/>
          </rPr>
          <t>Expected number of months grain will be stored.</t>
        </r>
      </text>
    </comment>
    <comment ref="G16" authorId="1" shapeId="0" xr:uid="{00000000-0006-0000-0000-000007000000}">
      <text>
        <r>
          <rPr>
            <sz val="8"/>
            <color indexed="81"/>
            <rFont val="Tahoma"/>
            <family val="2"/>
          </rPr>
          <t>Expected number of months grain will be stored.</t>
        </r>
      </text>
    </comment>
    <comment ref="J16" authorId="1" shapeId="0" xr:uid="{00000000-0006-0000-0000-000008000000}">
      <text>
        <r>
          <rPr>
            <sz val="8"/>
            <color indexed="81"/>
            <rFont val="Tahoma"/>
            <family val="2"/>
          </rPr>
          <t>Expected number of months grain will be stored.</t>
        </r>
      </text>
    </comment>
    <comment ref="E18" authorId="1" shapeId="0" xr:uid="{00000000-0006-0000-0000-000009000000}">
      <text>
        <r>
          <rPr>
            <sz val="8"/>
            <color indexed="81"/>
            <rFont val="Tahoma"/>
            <family val="2"/>
          </rPr>
          <t>Minimum charge for commercial storage.</t>
        </r>
      </text>
    </comment>
    <comment ref="H18" authorId="1" shapeId="0" xr:uid="{00000000-0006-0000-0000-00000A000000}">
      <text>
        <r>
          <rPr>
            <sz val="8"/>
            <color indexed="81"/>
            <rFont val="Tahoma"/>
            <family val="2"/>
          </rPr>
          <t>Minimum charge for commercial storage.</t>
        </r>
      </text>
    </comment>
    <comment ref="K18" authorId="1" shapeId="0" xr:uid="{00000000-0006-0000-0000-00000B000000}">
      <text>
        <r>
          <rPr>
            <sz val="8"/>
            <color indexed="81"/>
            <rFont val="Tahoma"/>
            <family val="2"/>
          </rPr>
          <t>Minimum charge for commercial storage.</t>
        </r>
      </text>
    </comment>
    <comment ref="E19" authorId="1" shapeId="0" xr:uid="{00000000-0006-0000-0000-00000C000000}">
      <text>
        <r>
          <rPr>
            <sz val="8"/>
            <color indexed="81"/>
            <rFont val="Tahoma"/>
            <family val="2"/>
          </rPr>
          <t>Number of months of storage included in minimum charge.</t>
        </r>
      </text>
    </comment>
    <comment ref="H19" authorId="1" shapeId="0" xr:uid="{00000000-0006-0000-0000-00000D000000}">
      <text>
        <r>
          <rPr>
            <sz val="8"/>
            <color indexed="81"/>
            <rFont val="Tahoma"/>
            <family val="2"/>
          </rPr>
          <t>Number of months of storage included in minimum charge.</t>
        </r>
      </text>
    </comment>
    <comment ref="K19" authorId="1" shapeId="0" xr:uid="{00000000-0006-0000-0000-00000E000000}">
      <text>
        <r>
          <rPr>
            <sz val="8"/>
            <color indexed="81"/>
            <rFont val="Tahoma"/>
            <family val="2"/>
          </rPr>
          <t>Number of months of storage included in minimum charge.</t>
        </r>
      </text>
    </comment>
    <comment ref="E20" authorId="1" shapeId="0" xr:uid="{00000000-0006-0000-0000-00000F000000}">
      <text>
        <r>
          <rPr>
            <sz val="8"/>
            <color indexed="81"/>
            <rFont val="Tahoma"/>
            <family val="2"/>
          </rPr>
          <t>Monthly storage charge after the minimum charge period.</t>
        </r>
      </text>
    </comment>
    <comment ref="H20" authorId="1" shapeId="0" xr:uid="{00000000-0006-0000-0000-000010000000}">
      <text>
        <r>
          <rPr>
            <sz val="8"/>
            <color indexed="81"/>
            <rFont val="Tahoma"/>
            <family val="2"/>
          </rPr>
          <t>Monthly storage charge after the minimum charge period.</t>
        </r>
      </text>
    </comment>
    <comment ref="K20" authorId="1" shapeId="0" xr:uid="{00000000-0006-0000-0000-000011000000}">
      <text>
        <r>
          <rPr>
            <sz val="8"/>
            <color indexed="81"/>
            <rFont val="Tahoma"/>
            <family val="2"/>
          </rPr>
          <t>Monthly storage charge after the minimum charge period.</t>
        </r>
      </text>
    </comment>
    <comment ref="D22" authorId="1" shapeId="0" xr:uid="{00000000-0006-0000-0000-000012000000}">
      <text>
        <r>
          <rPr>
            <sz val="8"/>
            <color indexed="81"/>
            <rFont val="Tahoma"/>
            <family val="2"/>
          </rPr>
          <t>Charge per bushel for renting on-farm storage for the crop year.</t>
        </r>
      </text>
    </comment>
    <comment ref="G22" authorId="1" shapeId="0" xr:uid="{00000000-0006-0000-0000-000013000000}">
      <text>
        <r>
          <rPr>
            <sz val="8"/>
            <color indexed="81"/>
            <rFont val="Tahoma"/>
            <family val="2"/>
          </rPr>
          <t>Charge per bushel for renting on-farm storage for the crop year.</t>
        </r>
      </text>
    </comment>
    <comment ref="J22" authorId="1" shapeId="0" xr:uid="{00000000-0006-0000-0000-000014000000}">
      <text>
        <r>
          <rPr>
            <sz val="8"/>
            <color indexed="81"/>
            <rFont val="Tahoma"/>
            <family val="2"/>
          </rPr>
          <t>Charge per bushel for renting on-farm storage for the crop year.</t>
        </r>
      </text>
    </comment>
    <comment ref="D23" authorId="1" shapeId="0" xr:uid="{00000000-0006-0000-0000-000015000000}">
      <text>
        <r>
          <rPr>
            <sz val="8"/>
            <color indexed="81"/>
            <rFont val="Tahoma"/>
            <family val="2"/>
          </rPr>
          <t>Monthly charge per bushel for renting on-farm storage.  
Leave blank if the charge is per year.</t>
        </r>
      </text>
    </comment>
    <comment ref="G23" authorId="1" shapeId="0" xr:uid="{00000000-0006-0000-0000-000016000000}">
      <text>
        <r>
          <rPr>
            <sz val="8"/>
            <color indexed="81"/>
            <rFont val="Tahoma"/>
            <family val="2"/>
          </rPr>
          <t>Monthly charge per bushel for renting on-farm storage.  
Leave blank if the charge is per year.</t>
        </r>
      </text>
    </comment>
    <comment ref="J23" authorId="1" shapeId="0" xr:uid="{00000000-0006-0000-0000-000017000000}">
      <text>
        <r>
          <rPr>
            <sz val="8"/>
            <color indexed="81"/>
            <rFont val="Tahoma"/>
            <family val="2"/>
          </rPr>
          <t>Monthly charge per bushel for renting on-farm storage.  
Leave blank if the charge is per year.</t>
        </r>
      </text>
    </comment>
    <comment ref="D24" authorId="2" shapeId="0" xr:uid="{00000000-0006-0000-0000-000018000000}">
      <text>
        <r>
          <rPr>
            <sz val="9"/>
            <color indexed="81"/>
            <rFont val="Tahoma"/>
            <family val="2"/>
          </rPr>
          <t>Moisture level that corn can be safely stored.</t>
        </r>
      </text>
    </comment>
    <comment ref="G24" authorId="2" shapeId="0" xr:uid="{00000000-0006-0000-0000-000019000000}">
      <text>
        <r>
          <rPr>
            <sz val="9"/>
            <color indexed="81"/>
            <rFont val="Tahoma"/>
            <family val="2"/>
          </rPr>
          <t>Moisture level that soybean can be safely stored.</t>
        </r>
      </text>
    </comment>
    <comment ref="J24" authorId="2" shapeId="0" xr:uid="{00000000-0006-0000-0000-00001A000000}">
      <text>
        <r>
          <rPr>
            <sz val="9"/>
            <color indexed="81"/>
            <rFont val="Tahoma"/>
            <family val="2"/>
          </rPr>
          <t>Moisture level that wheat can be safely stored.</t>
        </r>
      </text>
    </comment>
    <comment ref="D25" authorId="1" shapeId="0" xr:uid="{00000000-0006-0000-0000-00001B000000}">
      <text>
        <r>
          <rPr>
            <sz val="8"/>
            <color indexed="81"/>
            <rFont val="Tahoma"/>
            <family val="2"/>
          </rPr>
          <t>Moisture level that corn enters storage</t>
        </r>
      </text>
    </comment>
    <comment ref="G25" authorId="1" shapeId="0" xr:uid="{00000000-0006-0000-0000-00001C000000}">
      <text>
        <r>
          <rPr>
            <sz val="8"/>
            <color indexed="81"/>
            <rFont val="Tahoma"/>
            <family val="2"/>
          </rPr>
          <t>Moisture level that soybeans enters storage</t>
        </r>
      </text>
    </comment>
    <comment ref="J25" authorId="1" shapeId="0" xr:uid="{00000000-0006-0000-0000-00001D000000}">
      <text>
        <r>
          <rPr>
            <sz val="8"/>
            <color indexed="81"/>
            <rFont val="Tahoma"/>
            <family val="2"/>
          </rPr>
          <t>Moisture level that wheat enters storage</t>
        </r>
      </text>
    </comment>
    <comment ref="D26" authorId="1" shapeId="0" xr:uid="{00000000-0006-0000-0000-00001E000000}">
      <text>
        <r>
          <rPr>
            <sz val="8"/>
            <color indexed="81"/>
            <rFont val="Tahoma"/>
            <family val="2"/>
          </rPr>
          <t>Cost for fuel and electricity per percentage
 point of moisture removed.</t>
        </r>
      </text>
    </comment>
    <comment ref="G26" authorId="1" shapeId="0" xr:uid="{00000000-0006-0000-0000-00001F000000}">
      <text>
        <r>
          <rPr>
            <sz val="8"/>
            <color indexed="81"/>
            <rFont val="Tahoma"/>
            <family val="2"/>
          </rPr>
          <t>Cost for fuel and electricity per percentage
 point of moisture removed.</t>
        </r>
      </text>
    </comment>
    <comment ref="J26" authorId="1" shapeId="0" xr:uid="{00000000-0006-0000-0000-000020000000}">
      <text>
        <r>
          <rPr>
            <sz val="8"/>
            <color indexed="81"/>
            <rFont val="Tahoma"/>
            <family val="2"/>
          </rPr>
          <t>Cost for fuel and electricity per percentage
 point of moisture removed.</t>
        </r>
      </text>
    </comment>
    <comment ref="D27" authorId="1" shapeId="0" xr:uid="{00000000-0006-0000-0000-000021000000}">
      <text>
        <r>
          <rPr>
            <sz val="8"/>
            <color indexed="81"/>
            <rFont val="Tahoma"/>
            <family val="2"/>
          </rPr>
          <t>Shrink loss per percentage point of 
moisture removed.</t>
        </r>
      </text>
    </comment>
    <comment ref="G27" authorId="1" shapeId="0" xr:uid="{00000000-0006-0000-0000-000022000000}">
      <text>
        <r>
          <rPr>
            <sz val="8"/>
            <color indexed="81"/>
            <rFont val="Tahoma"/>
            <family val="2"/>
          </rPr>
          <t>Shrink loss per percentage point of 
moisture removed.</t>
        </r>
      </text>
    </comment>
    <comment ref="J27" authorId="1" shapeId="0" xr:uid="{00000000-0006-0000-0000-000023000000}">
      <text>
        <r>
          <rPr>
            <sz val="8"/>
            <color indexed="81"/>
            <rFont val="Tahoma"/>
            <family val="2"/>
          </rPr>
          <t>Shrink loss per percentage point of 
moisture removed.</t>
        </r>
      </text>
    </comment>
    <comment ref="D28" authorId="1" shapeId="0" xr:uid="{00000000-0006-0000-0000-000024000000}">
      <text>
        <r>
          <rPr>
            <sz val="8"/>
            <color indexed="81"/>
            <rFont val="Tahoma"/>
            <family val="2"/>
          </rPr>
          <t>Cost for handling grain into 
and out of farm storage.</t>
        </r>
      </text>
    </comment>
    <comment ref="G28" authorId="1" shapeId="0" xr:uid="{00000000-0006-0000-0000-000025000000}">
      <text>
        <r>
          <rPr>
            <sz val="8"/>
            <color indexed="81"/>
            <rFont val="Tahoma"/>
            <family val="2"/>
          </rPr>
          <t>Cost for handling grain into and out of farm storage.</t>
        </r>
      </text>
    </comment>
    <comment ref="J28" authorId="1" shapeId="0" xr:uid="{00000000-0006-0000-0000-000026000000}">
      <text>
        <r>
          <rPr>
            <sz val="8"/>
            <color indexed="81"/>
            <rFont val="Tahoma"/>
            <family val="2"/>
          </rPr>
          <t>Cost for handling grain into and out of farm storage.</t>
        </r>
      </text>
    </comment>
    <comment ref="D29" authorId="1" shapeId="0" xr:uid="{00000000-0006-0000-0000-000027000000}">
      <text>
        <r>
          <rPr>
            <sz val="8"/>
            <color indexed="81"/>
            <rFont val="Tahoma"/>
            <family val="2"/>
          </rPr>
          <t>Extra transportation cost for on-farm storage versus 
delivering directly to the end buyer.</t>
        </r>
      </text>
    </comment>
    <comment ref="G29" authorId="1" shapeId="0" xr:uid="{00000000-0006-0000-0000-000028000000}">
      <text>
        <r>
          <rPr>
            <sz val="8"/>
            <color indexed="81"/>
            <rFont val="Tahoma"/>
            <family val="2"/>
          </rPr>
          <t>Extra transportation cost for on-farm storage versus 
delivering directly to the end buyer.</t>
        </r>
      </text>
    </comment>
    <comment ref="J29" authorId="1" shapeId="0" xr:uid="{00000000-0006-0000-0000-000029000000}">
      <text>
        <r>
          <rPr>
            <sz val="8"/>
            <color indexed="81"/>
            <rFont val="Tahoma"/>
            <family val="2"/>
          </rPr>
          <t>Extra transportation cost for on-farm storage versus 
delivering directly to the end buyer.</t>
        </r>
      </text>
    </comment>
    <comment ref="D30" authorId="1" shapeId="0" xr:uid="{00000000-0006-0000-0000-00002A000000}">
      <text>
        <r>
          <rPr>
            <b/>
            <sz val="8"/>
            <color indexed="81"/>
            <rFont val="Tahoma"/>
            <family val="2"/>
          </rPr>
          <t>Usually 0.5% to 1.0%.</t>
        </r>
      </text>
    </comment>
    <comment ref="G30" authorId="1" shapeId="0" xr:uid="{00000000-0006-0000-0000-00002B000000}">
      <text>
        <r>
          <rPr>
            <sz val="8"/>
            <color indexed="81"/>
            <rFont val="Tahoma"/>
            <family val="2"/>
          </rPr>
          <t>Usually 0.5% to 1.0%.</t>
        </r>
      </text>
    </comment>
    <comment ref="J30" authorId="1" shapeId="0" xr:uid="{00000000-0006-0000-0000-00002C000000}">
      <text>
        <r>
          <rPr>
            <sz val="8"/>
            <color indexed="81"/>
            <rFont val="Tahoma"/>
            <family val="2"/>
          </rPr>
          <t>Usually 0.5% to 1.0%.</t>
        </r>
      </text>
    </comment>
    <comment ref="D34" authorId="1" shapeId="0" xr:uid="{00000000-0006-0000-0000-00002D000000}">
      <text>
        <r>
          <rPr>
            <sz val="8"/>
            <color indexed="81"/>
            <rFont val="Tahoma"/>
            <family val="2"/>
          </rPr>
          <t>Time spent monitoring stored grain each month.</t>
        </r>
      </text>
    </comment>
    <comment ref="G34" authorId="1" shapeId="0" xr:uid="{00000000-0006-0000-0000-00002E000000}">
      <text>
        <r>
          <rPr>
            <sz val="8"/>
            <color indexed="81"/>
            <rFont val="Tahoma"/>
            <family val="2"/>
          </rPr>
          <t>Time spent monitoring stored grain each month.</t>
        </r>
      </text>
    </comment>
    <comment ref="J34" authorId="1" shapeId="0" xr:uid="{00000000-0006-0000-0000-00002F000000}">
      <text>
        <r>
          <rPr>
            <sz val="8"/>
            <color indexed="81"/>
            <rFont val="Tahoma"/>
            <family val="2"/>
          </rPr>
          <t>Time spent monitoring stored grain each month.</t>
        </r>
      </text>
    </comment>
    <comment ref="D36" authorId="1" shapeId="0" xr:uid="{00000000-0006-0000-0000-000030000000}">
      <text>
        <r>
          <rPr>
            <sz val="8"/>
            <color indexed="81"/>
            <rFont val="Tahoma"/>
            <family val="2"/>
          </rPr>
          <t>Total of federal, state and self-employment tax rates. 
Enter value if you wish to show the value of deferring 
income taxes for one year.</t>
        </r>
      </text>
    </comment>
    <comment ref="C39" authorId="0" shapeId="0" xr:uid="{00000000-0006-0000-0000-000031000000}">
      <text>
        <r>
          <rPr>
            <b/>
            <sz val="8"/>
            <color indexed="81"/>
            <rFont val="Tahoma"/>
            <family val="2"/>
          </rPr>
          <t xml:space="preserve"> Commercial storage charge </t>
        </r>
        <r>
          <rPr>
            <sz val="8"/>
            <color indexed="81"/>
            <rFont val="Tahoma"/>
            <family val="2"/>
          </rPr>
          <t>= base rate + 
((storage period - base period) x rate per month).</t>
        </r>
      </text>
    </comment>
    <comment ref="C40" authorId="0" shapeId="0" xr:uid="{00000000-0006-0000-0000-000032000000}">
      <text>
        <r>
          <rPr>
            <b/>
            <sz val="8"/>
            <color indexed="81"/>
            <rFont val="Tahoma"/>
            <family val="2"/>
          </rPr>
          <t>Farm storage rent</t>
        </r>
        <r>
          <rPr>
            <sz val="8"/>
            <color indexed="81"/>
            <rFont val="Tahoma"/>
            <family val="2"/>
          </rPr>
          <t xml:space="preserve"> = fixed rate + 
(storage period x rate per month).</t>
        </r>
      </text>
    </comment>
    <comment ref="C41" authorId="0" shapeId="0" xr:uid="{00000000-0006-0000-0000-000033000000}">
      <text>
        <r>
          <rPr>
            <b/>
            <sz val="8"/>
            <color indexed="81"/>
            <rFont val="Tahoma"/>
            <family val="2"/>
          </rPr>
          <t>Interest on grain inventory</t>
        </r>
        <r>
          <rPr>
            <sz val="8"/>
            <color indexed="81"/>
            <rFont val="Tahoma"/>
            <family val="2"/>
          </rPr>
          <t xml:space="preserve"> = current grain price x 
interest rate x (length of storage / 12).</t>
        </r>
      </text>
    </comment>
    <comment ref="C42" authorId="0" shapeId="0" xr:uid="{00000000-0006-0000-0000-000034000000}">
      <text>
        <r>
          <rPr>
            <b/>
            <sz val="8"/>
            <color indexed="81"/>
            <rFont val="Tahoma"/>
            <family val="2"/>
          </rPr>
          <t>Extra drying cost for corn</t>
        </r>
        <r>
          <rPr>
            <sz val="8"/>
            <color indexed="81"/>
            <rFont val="Tahoma"/>
            <family val="2"/>
          </rPr>
          <t xml:space="preserve"> = extra points moisture removed x 
drying cost per point of moisture.</t>
        </r>
      </text>
    </comment>
    <comment ref="C43" authorId="0" shapeId="0" xr:uid="{00000000-0006-0000-0000-000035000000}">
      <text>
        <r>
          <rPr>
            <sz val="8"/>
            <color indexed="81"/>
            <rFont val="Tahoma"/>
            <family val="2"/>
          </rPr>
          <t>Extra handling cost.</t>
        </r>
      </text>
    </comment>
    <comment ref="C44" authorId="0" shapeId="0" xr:uid="{00000000-0006-0000-0000-000036000000}">
      <text>
        <r>
          <rPr>
            <b/>
            <sz val="8"/>
            <color indexed="81"/>
            <rFont val="Tahoma"/>
            <family val="2"/>
          </rPr>
          <t>Quality deterioration</t>
        </r>
        <r>
          <rPr>
            <sz val="8"/>
            <color indexed="81"/>
            <rFont val="Tahoma"/>
            <family val="2"/>
          </rPr>
          <t xml:space="preserve"> = 
percentage quality deterioration x 
grain price.</t>
        </r>
      </text>
    </comment>
    <comment ref="C47" authorId="0" shapeId="0" xr:uid="{00000000-0006-0000-0000-000037000000}">
      <text>
        <r>
          <rPr>
            <b/>
            <sz val="8"/>
            <color indexed="81"/>
            <rFont val="Tahoma"/>
            <family val="2"/>
          </rPr>
          <t>Total cost of storage</t>
        </r>
        <r>
          <rPr>
            <sz val="8"/>
            <color indexed="81"/>
            <rFont val="Tahoma"/>
            <family val="2"/>
          </rPr>
          <t xml:space="preserve"> = 
commercial storage charge + 
farm storage rent + 
interest on grain inventory + 
extra drying cost for corn + 
extra shrinkage cost for corn + 
extra handling cost + 
quality deterioration.</t>
        </r>
      </text>
    </comment>
    <comment ref="C51" authorId="1" shapeId="0" xr:uid="{00000000-0006-0000-0000-000038000000}">
      <text>
        <r>
          <rPr>
            <sz val="8"/>
            <color indexed="81"/>
            <rFont val="Tahoma"/>
            <family val="2"/>
          </rPr>
          <t>Value of interest earned or saved by deferring 
taxation of grain sales for one year.</t>
        </r>
      </text>
    </comment>
    <comment ref="C54" authorId="0" shapeId="0" xr:uid="{00000000-0006-0000-0000-000039000000}">
      <text>
        <r>
          <rPr>
            <b/>
            <sz val="8"/>
            <color indexed="81"/>
            <rFont val="Tahoma"/>
            <family val="2"/>
          </rPr>
          <t>Breakeven grain price</t>
        </r>
        <r>
          <rPr>
            <sz val="8"/>
            <color indexed="81"/>
            <rFont val="Tahoma"/>
            <family val="2"/>
          </rPr>
          <t xml:space="preserve"> = 
current grain price + total cost of storage.</t>
        </r>
      </text>
    </comment>
  </commentList>
</comments>
</file>

<file path=xl/sharedStrings.xml><?xml version="1.0" encoding="utf-8"?>
<sst xmlns="http://schemas.openxmlformats.org/spreadsheetml/2006/main" count="186" uniqueCount="77">
  <si>
    <t xml:space="preserve"> </t>
  </si>
  <si>
    <t>Length of storage (months)</t>
  </si>
  <si>
    <t xml:space="preserve">   Base period (months)</t>
  </si>
  <si>
    <t>Quality deterioration</t>
  </si>
  <si>
    <t>Corn</t>
  </si>
  <si>
    <t>Commercial</t>
  </si>
  <si>
    <t>On-Farm</t>
  </si>
  <si>
    <t>Total Cost by Months Stored</t>
  </si>
  <si>
    <t>Farm storage rent</t>
  </si>
  <si>
    <t>Commercial storage charge</t>
  </si>
  <si>
    <t>Place the cursor over cells with red triangles to read comments.</t>
  </si>
  <si>
    <t>Interest on grain inventory</t>
  </si>
  <si>
    <t>Total cost of storage</t>
  </si>
  <si>
    <t>Breakeven grain price</t>
  </si>
  <si>
    <t>Storage Type</t>
  </si>
  <si>
    <t>Month</t>
  </si>
  <si>
    <t>Enter your input values in shaded cells.</t>
  </si>
  <si>
    <t>Date Printed:</t>
  </si>
  <si>
    <t>Short-term interest rate (percent)</t>
  </si>
  <si>
    <t xml:space="preserve">   Base rate ($/bu.)</t>
  </si>
  <si>
    <t xml:space="preserve">   Rate per month after base period ($/bu./month)</t>
  </si>
  <si>
    <t xml:space="preserve">   Rate per month ($/bu./month)</t>
  </si>
  <si>
    <t>Farm storage rent (leave blank for owned storage)</t>
  </si>
  <si>
    <t>Extra handling cost into and out of farm storage ($/bu.)</t>
  </si>
  <si>
    <t>Quality deterioration for farm storage (%)</t>
  </si>
  <si>
    <t>Fans, total horsepower</t>
  </si>
  <si>
    <t>Hours fans will run, total</t>
  </si>
  <si>
    <t>Electricity rate ($ per KWH)</t>
  </si>
  <si>
    <t>Labor value ($ per hour)</t>
  </si>
  <si>
    <t>Bushels to be stored</t>
  </si>
  <si>
    <t>Cash grain price at harvest ($/bu.)</t>
  </si>
  <si>
    <t>Storage costs ($ per bushel)</t>
  </si>
  <si>
    <t>Electricity</t>
  </si>
  <si>
    <t>Labor</t>
  </si>
  <si>
    <t>Less interest saved from income tax deferral</t>
  </si>
  <si>
    <t>Total cost of storage after interest saving from tax deferral</t>
  </si>
  <si>
    <t>Drying cost (variable costs, $/point removed)</t>
  </si>
  <si>
    <t>Shrink factor (% per point removed)</t>
  </si>
  <si>
    <t>Marginal income tax rate (optional) (%)</t>
  </si>
  <si>
    <t>Additional hours per month spent managing grain</t>
  </si>
  <si>
    <t>November</t>
  </si>
  <si>
    <t>December</t>
  </si>
  <si>
    <t>January</t>
  </si>
  <si>
    <t>February</t>
  </si>
  <si>
    <t>March</t>
  </si>
  <si>
    <t>April</t>
  </si>
  <si>
    <t>May</t>
  </si>
  <si>
    <t>June</t>
  </si>
  <si>
    <t>July</t>
  </si>
  <si>
    <t>August</t>
  </si>
  <si>
    <t>September</t>
  </si>
  <si>
    <t>October</t>
  </si>
  <si>
    <t>Extra handling and transportation cost</t>
  </si>
  <si>
    <t>Monthly Cost of Storing Grain</t>
  </si>
  <si>
    <t>Spring Wheat</t>
  </si>
  <si>
    <t>Average total cost of storage/month</t>
  </si>
  <si>
    <t>Maximum Allowable Moisture level for storage (%)</t>
  </si>
  <si>
    <t>Moisture level entering storage (%)</t>
  </si>
  <si>
    <t>Extra drying and shrinkage cost</t>
  </si>
  <si>
    <t>Soybean</t>
  </si>
  <si>
    <t>Extra transportation cost for farm storage ($/bu.)</t>
  </si>
  <si>
    <r>
      <t xml:space="preserve">   Fixed rate ($/bu.) for the year, </t>
    </r>
    <r>
      <rPr>
        <b/>
        <sz val="10"/>
        <color rgb="FFFF0000"/>
        <rFont val="Arial"/>
        <family val="2"/>
      </rPr>
      <t>or</t>
    </r>
  </si>
  <si>
    <r>
      <rPr>
        <sz val="10"/>
        <rFont val="Arial"/>
        <family val="2"/>
      </rPr>
      <t>For additional information see</t>
    </r>
    <r>
      <rPr>
        <sz val="10"/>
        <color indexed="45"/>
        <rFont val="Arial"/>
        <family val="2"/>
      </rPr>
      <t xml:space="preserve">  </t>
    </r>
    <r>
      <rPr>
        <i/>
        <u/>
        <sz val="10"/>
        <color indexed="45"/>
        <rFont val="Arial"/>
        <family val="2"/>
      </rPr>
      <t>Cost of Storing Grain</t>
    </r>
    <r>
      <rPr>
        <sz val="10"/>
        <rFont val="Arial"/>
        <family val="2"/>
      </rPr>
      <t xml:space="preserve"> at Ag Decision Maker - Iowa State University Extension and Outreach</t>
    </r>
  </si>
  <si>
    <t>Version 1.0</t>
  </si>
  <si>
    <t>Adapted by Frayne Olson, Crop Economist/Marketing Specialist - North Dakota State University</t>
  </si>
  <si>
    <t>Developed by William Edwards, retired economist - Iowa State University</t>
  </si>
  <si>
    <t>Harvest Month&gt;&gt;</t>
  </si>
  <si>
    <t>Developed by Iowa State University Extension and Outreach</t>
  </si>
  <si>
    <t>Adapted by North Dakota State University Extension</t>
  </si>
  <si>
    <t>Futures Contract</t>
  </si>
  <si>
    <t>Futures Price</t>
  </si>
  <si>
    <t>Expected Cash Price</t>
  </si>
  <si>
    <t>Expected Basis</t>
  </si>
  <si>
    <t>Expected Net Price</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</si>
  <si>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</si>
  <si>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Harvest Price</t>
  </si>
  <si>
    <r>
      <rPr>
        <sz val="10"/>
        <rFont val="Arial"/>
        <family val="2"/>
      </rPr>
      <t xml:space="preserve">Harvest </t>
    </r>
    <r>
      <rPr>
        <b/>
        <sz val="10"/>
        <rFont val="Arial"/>
        <family val="2"/>
      </rPr>
      <t>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</si>
</sst>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4" formatCode="_(&quot;$&quot;* #,##0.00_);_(&quot;$&quot;* \(#,##0.00\);_(&quot;$&quot;* &quot;-&quot;??_);_(@_)"/>
    <numFmt numFmtId="43" formatCode="_(* #,##0.00_);_(* \(#,##0.00\);_(* &quot;-&quot;??_);_(@_)"/>
    <numFmt numFmtId="164" formatCode="&quot;$&quot;#,##0.00"/>
    <numFmt numFmtId="165" formatCode="0.0%"/>
    <numFmt numFmtId="166" formatCode="0.0"/>
    <numFmt numFmtId="167" formatCode="&quot;$&quot;#,##0.000"/>
    <numFmt numFmtId="168" formatCode="0.000"/>
    <numFmt numFmtId="169" formatCode="#,##0.000"/>
    <numFmt numFmtId="170" formatCode="_(* #,##0.0_);_(* \(#,##0.0\);_(* &quot;-&quot;??_);_(@_)"/>
    <numFmt numFmtId="171" formatCode="_(* #,##0_);_(* \(#,##0\);_(* &quot;-&quot;??_);_(@_)"/>
    <numFmt numFmtId="172" formatCode="_(* #,##0\ &quot;bu.&quot;_);_(* \(#,##0&quot;bu.&quot;\);_(* &quot;-&quot;??&quot;bu.&quot;_);_(@_)"/>
    <numFmt numFmtId="173" formatCode="_(* #,##0\ &quot;months&quot;_);_(* \(#,##0&quot;months&quot;\);_(* &quot;-&quot;??&quot;months&quot;_);_(@_)"/>
    <numFmt numFmtId="174" formatCode="_(* #,##0.0\ &quot;hours&quot;_);_(* \(#,##0.0\ &quot;hours&quot;\);_(* &quot;-&quot;??_);_(@_)"/>
    <numFmt numFmtId="175" formatCode="&quot;$&quot;#,##0.000_);\(&quot;$&quot;#,##0.000\)"/>
    <numFmt numFmtId="176" formatCode="0_);\(0\)"/>
    <numFmt numFmtId="177" formatCode="#,##0.000_);\(#,##0.000\)"/>
  </numFmts>
  <fonts count="23" x14ac:knownFonts="1">
    <font>
      <sz val="10"/>
      <name val="Arial"/>
    </font>
    <font>
      <sz val="10"/>
      <name val="Arial"/>
      <family val="2"/>
    </font>
    <font>
      <b/>
      <sz val="10"/>
      <name val="Arial"/>
      <family val="2"/>
    </font>
    <font>
      <sz val="10"/>
      <name val="Arial"/>
      <family val="2"/>
    </font>
    <font>
      <b/>
      <sz val="8"/>
      <color indexed="81"/>
      <name val="Tahoma"/>
      <family val="2"/>
    </font>
    <font>
      <i/>
      <sz val="10"/>
      <name val="Arial"/>
      <family val="2"/>
    </font>
    <font>
      <u/>
      <sz val="10"/>
      <name val="Arial"/>
      <family val="2"/>
    </font>
    <font>
      <sz val="8"/>
      <name val="Arial"/>
      <family val="2"/>
    </font>
    <font>
      <sz val="8"/>
      <color indexed="81"/>
      <name val="Tahoma"/>
      <family val="2"/>
    </font>
    <font>
      <u/>
      <sz val="10"/>
      <color indexed="12"/>
      <name val="Arial"/>
      <family val="2"/>
    </font>
    <font>
      <u/>
      <sz val="10"/>
      <color indexed="12"/>
      <name val="Arial"/>
      <family val="2"/>
    </font>
    <font>
      <sz val="6"/>
      <color indexed="63"/>
      <name val="Univers"/>
      <family val="2"/>
    </font>
    <font>
      <sz val="6"/>
      <name val="Arial"/>
      <family val="2"/>
    </font>
    <font>
      <sz val="9"/>
      <name val="Arial"/>
      <family val="2"/>
    </font>
    <font>
      <b/>
      <sz val="14"/>
      <color indexed="9"/>
      <name val="Arial"/>
      <family val="2"/>
    </font>
    <font>
      <u/>
      <sz val="10"/>
      <color indexed="45"/>
      <name val="Arial"/>
      <family val="2"/>
    </font>
    <font>
      <sz val="6"/>
      <color indexed="63"/>
      <name val="Arial"/>
      <family val="2"/>
    </font>
    <font>
      <b/>
      <sz val="10"/>
      <color theme="0"/>
      <name val="Arial"/>
      <family val="2"/>
    </font>
    <font>
      <b/>
      <sz val="10"/>
      <color rgb="FFFF0000"/>
      <name val="Arial"/>
      <family val="2"/>
    </font>
    <font>
      <sz val="9"/>
      <color indexed="81"/>
      <name val="Tahoma"/>
      <family val="2"/>
    </font>
    <font>
      <i/>
      <u/>
      <sz val="10"/>
      <color indexed="45"/>
      <name val="Arial"/>
      <family val="2"/>
    </font>
    <font>
      <sz val="10"/>
      <color indexed="45"/>
      <name val="Arial"/>
      <family val="2"/>
    </font>
    <font>
      <b/>
      <sz val="9"/>
      <name val="Arial"/>
      <family val="2"/>
    </font>
  </fonts>
  <fills count="7">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rgb="FF006633"/>
        <bgColor indexed="64"/>
      </patternFill>
    </fill>
    <fill>
      <patternFill patternType="solid">
        <fgColor rgb="FFFFFF99"/>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2" tint="-9.9948118533890809E-2"/>
      </bottom>
      <diagonal/>
    </border>
    <border>
      <left style="medium">
        <color indexed="64"/>
      </left>
      <right style="medium">
        <color indexed="64"/>
      </right>
      <top style="thin">
        <color indexed="64"/>
      </top>
      <bottom style="thin">
        <color indexed="64"/>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175">
    <xf numFmtId="0" fontId="0" fillId="0" borderId="0" xfId="0"/>
    <xf numFmtId="0" fontId="2" fillId="0" borderId="0" xfId="0" applyFont="1"/>
    <xf numFmtId="0" fontId="3" fillId="0" borderId="0" xfId="0" applyFont="1"/>
    <xf numFmtId="0" fontId="2" fillId="0" borderId="0" xfId="0" applyFont="1" applyAlignment="1">
      <alignment horizontal="center"/>
    </xf>
    <xf numFmtId="164" fontId="3" fillId="0" borderId="0" xfId="0" applyNumberFormat="1" applyFont="1" applyAlignment="1">
      <alignment horizontal="right"/>
    </xf>
    <xf numFmtId="164" fontId="3" fillId="0" borderId="0" xfId="0" applyNumberFormat="1" applyFont="1" applyAlignment="1" applyProtection="1">
      <alignment horizontal="right"/>
      <protection locked="0"/>
    </xf>
    <xf numFmtId="165" fontId="3" fillId="0" borderId="0" xfId="0" applyNumberFormat="1" applyFont="1" applyProtection="1">
      <protection locked="0"/>
    </xf>
    <xf numFmtId="166" fontId="3" fillId="0" borderId="0" xfId="0" applyNumberFormat="1" applyFont="1" applyProtection="1">
      <protection locked="0"/>
    </xf>
    <xf numFmtId="164" fontId="3" fillId="0" borderId="0" xfId="0" quotePrefix="1" applyNumberFormat="1" applyFont="1" applyAlignment="1">
      <alignment horizontal="right"/>
    </xf>
    <xf numFmtId="164" fontId="3" fillId="0" borderId="0" xfId="0" applyNumberFormat="1" applyFont="1" applyProtection="1">
      <protection locked="0"/>
    </xf>
    <xf numFmtId="167" fontId="3" fillId="0" borderId="0" xfId="0" applyNumberFormat="1" applyFont="1" applyProtection="1">
      <protection locked="0"/>
    </xf>
    <xf numFmtId="2" fontId="3" fillId="0" borderId="0" xfId="0" applyNumberFormat="1" applyFont="1" applyProtection="1">
      <protection locked="0"/>
    </xf>
    <xf numFmtId="168" fontId="3" fillId="0" borderId="0" xfId="0" applyNumberFormat="1" applyFont="1" applyProtection="1">
      <protection locked="0"/>
    </xf>
    <xf numFmtId="167" fontId="3" fillId="0" borderId="0" xfId="0" applyNumberFormat="1" applyFont="1"/>
    <xf numFmtId="169" fontId="3" fillId="0" borderId="0" xfId="0" applyNumberFormat="1" applyFont="1"/>
    <xf numFmtId="168" fontId="3" fillId="0" borderId="0" xfId="0" applyNumberFormat="1" applyFont="1"/>
    <xf numFmtId="0" fontId="10" fillId="0" borderId="0" xfId="3" applyFont="1" applyAlignment="1" applyProtection="1">
      <alignment horizontal="left" wrapText="1"/>
    </xf>
    <xf numFmtId="0" fontId="5" fillId="0" borderId="0" xfId="0" applyFont="1"/>
    <xf numFmtId="0" fontId="12" fillId="0" borderId="0" xfId="0" applyFont="1"/>
    <xf numFmtId="0" fontId="11" fillId="0" borderId="0" xfId="0" applyFont="1" applyAlignment="1">
      <alignment wrapText="1"/>
    </xf>
    <xf numFmtId="0" fontId="10" fillId="0" borderId="0" xfId="3" applyFont="1" applyAlignment="1" applyProtection="1">
      <alignment wrapText="1"/>
    </xf>
    <xf numFmtId="0" fontId="3" fillId="0" borderId="0" xfId="0" applyFont="1" applyAlignment="1">
      <alignment horizontal="left" indent="1"/>
    </xf>
    <xf numFmtId="0" fontId="3" fillId="0" borderId="0" xfId="0" applyFont="1" applyAlignment="1">
      <alignment horizontal="left"/>
    </xf>
    <xf numFmtId="0" fontId="13" fillId="0" borderId="0" xfId="0" applyFont="1"/>
    <xf numFmtId="0" fontId="1" fillId="0" borderId="0" xfId="0" applyFont="1"/>
    <xf numFmtId="0" fontId="1" fillId="0" borderId="0" xfId="3" applyFont="1" applyAlignment="1" applyProtection="1">
      <alignment horizontal="left"/>
    </xf>
    <xf numFmtId="14" fontId="1" fillId="0" borderId="0" xfId="0" applyNumberFormat="1" applyFont="1"/>
    <xf numFmtId="14" fontId="1" fillId="0" borderId="0" xfId="0" applyNumberFormat="1" applyFont="1" applyAlignment="1">
      <alignment horizontal="left"/>
    </xf>
    <xf numFmtId="0" fontId="13" fillId="0" borderId="0" xfId="0" applyFont="1" applyAlignment="1">
      <alignment horizontal="left"/>
    </xf>
    <xf numFmtId="0" fontId="10" fillId="0" borderId="0" xfId="3" applyFont="1" applyFill="1" applyBorder="1" applyAlignment="1" applyProtection="1">
      <alignment horizontal="left" wrapText="1"/>
    </xf>
    <xf numFmtId="1" fontId="3" fillId="0" borderId="0" xfId="0" applyNumberFormat="1" applyFont="1" applyProtection="1">
      <protection locked="0"/>
    </xf>
    <xf numFmtId="0" fontId="3" fillId="0" borderId="0" xfId="0" quotePrefix="1" applyFont="1" applyAlignment="1">
      <alignment horizontal="right"/>
    </xf>
    <xf numFmtId="4" fontId="3" fillId="0" borderId="0" xfId="0" quotePrefix="1" applyNumberFormat="1" applyFont="1" applyAlignment="1">
      <alignment horizontal="right"/>
    </xf>
    <xf numFmtId="165" fontId="3" fillId="0" borderId="0" xfId="4" applyNumberFormat="1" applyFont="1" applyFill="1" applyBorder="1" applyProtection="1">
      <protection locked="0"/>
    </xf>
    <xf numFmtId="171" fontId="3" fillId="0" borderId="0" xfId="1" applyNumberFormat="1" applyFont="1" applyFill="1" applyBorder="1" applyAlignment="1">
      <alignment horizontal="center"/>
    </xf>
    <xf numFmtId="170" fontId="3" fillId="0" borderId="0" xfId="1" applyNumberFormat="1" applyFont="1" applyFill="1" applyBorder="1" applyProtection="1">
      <protection locked="0"/>
    </xf>
    <xf numFmtId="0" fontId="2" fillId="0" borderId="0" xfId="0" applyFont="1" applyAlignment="1">
      <alignment horizontal="left"/>
    </xf>
    <xf numFmtId="171" fontId="3" fillId="0" borderId="0" xfId="1" applyNumberFormat="1" applyFont="1" applyFill="1" applyBorder="1" applyProtection="1">
      <protection locked="0"/>
    </xf>
    <xf numFmtId="164" fontId="3" fillId="2" borderId="2" xfId="0" quotePrefix="1" applyNumberFormat="1" applyFont="1" applyFill="1" applyBorder="1" applyAlignment="1">
      <alignment horizontal="right"/>
    </xf>
    <xf numFmtId="164" fontId="3" fillId="2" borderId="3" xfId="0" quotePrefix="1" applyNumberFormat="1" applyFont="1" applyFill="1" applyBorder="1" applyAlignment="1">
      <alignment horizontal="right"/>
    </xf>
    <xf numFmtId="164" fontId="3" fillId="0" borderId="2" xfId="0" quotePrefix="1" applyNumberFormat="1" applyFont="1" applyBorder="1" applyAlignment="1">
      <alignment horizontal="right"/>
    </xf>
    <xf numFmtId="0" fontId="3" fillId="0" borderId="3" xfId="0" quotePrefix="1" applyFont="1" applyBorder="1" applyAlignment="1">
      <alignment horizontal="right"/>
    </xf>
    <xf numFmtId="4" fontId="3" fillId="2" borderId="3" xfId="0" quotePrefix="1" applyNumberFormat="1" applyFont="1" applyFill="1" applyBorder="1" applyAlignment="1">
      <alignment horizontal="right"/>
    </xf>
    <xf numFmtId="167" fontId="3" fillId="0" borderId="3" xfId="0" applyNumberFormat="1" applyFont="1" applyBorder="1" applyProtection="1">
      <protection locked="0"/>
    </xf>
    <xf numFmtId="165" fontId="3" fillId="0" borderId="3" xfId="0" applyNumberFormat="1" applyFont="1" applyBorder="1" applyProtection="1">
      <protection locked="0"/>
    </xf>
    <xf numFmtId="171" fontId="3" fillId="0" borderId="3" xfId="1" applyNumberFormat="1" applyFont="1" applyFill="1" applyBorder="1" applyProtection="1">
      <protection locked="0"/>
    </xf>
    <xf numFmtId="170" fontId="3" fillId="0" borderId="3" xfId="1" applyNumberFormat="1" applyFont="1" applyFill="1" applyBorder="1" applyProtection="1">
      <protection locked="0"/>
    </xf>
    <xf numFmtId="164" fontId="3" fillId="0" borderId="3" xfId="0" applyNumberFormat="1" applyFont="1" applyBorder="1" applyProtection="1">
      <protection locked="0"/>
    </xf>
    <xf numFmtId="0" fontId="3" fillId="0" borderId="3" xfId="0" applyFont="1" applyBorder="1"/>
    <xf numFmtId="9" fontId="3" fillId="0" borderId="2" xfId="4" applyFont="1" applyFill="1" applyBorder="1"/>
    <xf numFmtId="0" fontId="3" fillId="0" borderId="2" xfId="0" applyFont="1" applyBorder="1"/>
    <xf numFmtId="0" fontId="3" fillId="0" borderId="2" xfId="0" quotePrefix="1" applyFont="1" applyBorder="1" applyAlignment="1">
      <alignment horizontal="right"/>
    </xf>
    <xf numFmtId="9" fontId="3" fillId="0" borderId="2" xfId="0" applyNumberFormat="1" applyFont="1" applyBorder="1"/>
    <xf numFmtId="0" fontId="2" fillId="0" borderId="3" xfId="0" applyFont="1" applyBorder="1" applyAlignment="1">
      <alignment horizontal="center"/>
    </xf>
    <xf numFmtId="0" fontId="2" fillId="0" borderId="8" xfId="0" applyFont="1" applyBorder="1" applyAlignment="1">
      <alignment horizontal="center"/>
    </xf>
    <xf numFmtId="175" fontId="3" fillId="0" borderId="2" xfId="2" applyNumberFormat="1" applyFont="1" applyFill="1" applyBorder="1" applyProtection="1">
      <protection locked="0"/>
    </xf>
    <xf numFmtId="7" fontId="3" fillId="0" borderId="2" xfId="0" applyNumberFormat="1" applyFont="1" applyBorder="1" applyProtection="1">
      <protection locked="0"/>
    </xf>
    <xf numFmtId="172" fontId="3" fillId="0" borderId="3" xfId="1" applyNumberFormat="1" applyFont="1" applyBorder="1" applyAlignment="1" applyProtection="1">
      <alignment horizontal="center"/>
    </xf>
    <xf numFmtId="7" fontId="3" fillId="0" borderId="3" xfId="0" applyNumberFormat="1" applyFont="1" applyBorder="1" applyAlignment="1">
      <alignment horizontal="right"/>
    </xf>
    <xf numFmtId="165" fontId="3" fillId="0" borderId="3" xfId="4" applyNumberFormat="1" applyFont="1" applyFill="1" applyBorder="1" applyAlignment="1" applyProtection="1">
      <alignment horizontal="right"/>
    </xf>
    <xf numFmtId="173" fontId="3" fillId="0" borderId="3" xfId="1" applyNumberFormat="1" applyFont="1" applyFill="1" applyBorder="1" applyAlignment="1" applyProtection="1">
      <alignment horizontal="right"/>
    </xf>
    <xf numFmtId="165" fontId="3" fillId="0" borderId="3" xfId="4" applyNumberFormat="1" applyFont="1" applyFill="1" applyBorder="1" applyProtection="1"/>
    <xf numFmtId="173" fontId="3" fillId="0" borderId="3" xfId="0" applyNumberFormat="1" applyFont="1" applyBorder="1"/>
    <xf numFmtId="175" fontId="3" fillId="0" borderId="3" xfId="0" applyNumberFormat="1" applyFont="1" applyBorder="1"/>
    <xf numFmtId="175" fontId="3" fillId="0" borderId="2" xfId="0" quotePrefix="1" applyNumberFormat="1" applyFont="1" applyBorder="1" applyAlignment="1">
      <alignment horizontal="right"/>
    </xf>
    <xf numFmtId="164" fontId="3" fillId="0" borderId="3" xfId="0" quotePrefix="1" applyNumberFormat="1" applyFont="1" applyBorder="1" applyAlignment="1">
      <alignment horizontal="right"/>
    </xf>
    <xf numFmtId="177" fontId="3" fillId="0" borderId="2" xfId="0" applyNumberFormat="1" applyFont="1" applyBorder="1"/>
    <xf numFmtId="177" fontId="3" fillId="0" borderId="3" xfId="0" applyNumberFormat="1" applyFont="1" applyBorder="1"/>
    <xf numFmtId="168" fontId="3" fillId="0" borderId="3" xfId="0" applyNumberFormat="1" applyFont="1" applyBorder="1"/>
    <xf numFmtId="169" fontId="3" fillId="0" borderId="3" xfId="0" applyNumberFormat="1" applyFont="1" applyBorder="1"/>
    <xf numFmtId="177" fontId="6" fillId="0" borderId="2" xfId="0" applyNumberFormat="1" applyFont="1" applyBorder="1"/>
    <xf numFmtId="169" fontId="6" fillId="0" borderId="3" xfId="0" applyNumberFormat="1" applyFont="1" applyBorder="1"/>
    <xf numFmtId="169" fontId="6" fillId="0" borderId="0" xfId="0" applyNumberFormat="1" applyFont="1"/>
    <xf numFmtId="175" fontId="3" fillId="0" borderId="2" xfId="0" applyNumberFormat="1" applyFont="1" applyBorder="1"/>
    <xf numFmtId="167" fontId="3" fillId="0" borderId="2" xfId="0" applyNumberFormat="1" applyFont="1" applyBorder="1"/>
    <xf numFmtId="167" fontId="3" fillId="0" borderId="3" xfId="0" applyNumberFormat="1" applyFont="1" applyBorder="1"/>
    <xf numFmtId="7" fontId="3" fillId="0" borderId="9" xfId="0" applyNumberFormat="1" applyFont="1" applyBorder="1"/>
    <xf numFmtId="7" fontId="3" fillId="0" borderId="10" xfId="0" applyNumberFormat="1" applyFont="1" applyBorder="1"/>
    <xf numFmtId="164" fontId="3" fillId="0" borderId="0" xfId="0" applyNumberFormat="1" applyFont="1"/>
    <xf numFmtId="0" fontId="3" fillId="4" borderId="0" xfId="0" applyFont="1" applyFill="1"/>
    <xf numFmtId="0" fontId="0" fillId="4" borderId="0" xfId="0" applyFill="1"/>
    <xf numFmtId="0" fontId="1" fillId="4" borderId="0" xfId="0" applyFont="1" applyFill="1"/>
    <xf numFmtId="0" fontId="0" fillId="3" borderId="0" xfId="0" applyFill="1"/>
    <xf numFmtId="165" fontId="3" fillId="0" borderId="2" xfId="4" applyNumberFormat="1" applyFont="1" applyFill="1" applyBorder="1" applyProtection="1"/>
    <xf numFmtId="175" fontId="2" fillId="0" borderId="2" xfId="0" applyNumberFormat="1" applyFont="1" applyBorder="1"/>
    <xf numFmtId="175" fontId="2" fillId="0" borderId="3" xfId="0" applyNumberFormat="1" applyFont="1" applyBorder="1"/>
    <xf numFmtId="0" fontId="1" fillId="0" borderId="0" xfId="0" applyFont="1" applyAlignment="1">
      <alignment horizontal="left"/>
    </xf>
    <xf numFmtId="0" fontId="14" fillId="5" borderId="11" xfId="0" applyFont="1" applyFill="1" applyBorder="1"/>
    <xf numFmtId="177" fontId="1" fillId="0" borderId="2" xfId="0" applyNumberFormat="1" applyFont="1" applyBorder="1"/>
    <xf numFmtId="0" fontId="1" fillId="0" borderId="0" xfId="0" applyFont="1" applyAlignment="1">
      <alignment horizontal="left" indent="1"/>
    </xf>
    <xf numFmtId="0" fontId="0" fillId="0" borderId="0" xfId="0" applyAlignment="1">
      <alignment horizontal="center"/>
    </xf>
    <xf numFmtId="0" fontId="14" fillId="0" borderId="0" xfId="0" applyFont="1"/>
    <xf numFmtId="172" fontId="3" fillId="6" borderId="1" xfId="1" applyNumberFormat="1" applyFont="1" applyFill="1" applyBorder="1" applyAlignment="1" applyProtection="1">
      <alignment horizontal="center"/>
      <protection locked="0"/>
    </xf>
    <xf numFmtId="0" fontId="13" fillId="6" borderId="5" xfId="0" applyFont="1" applyFill="1" applyBorder="1"/>
    <xf numFmtId="7" fontId="3" fillId="6" borderId="1" xfId="0" applyNumberFormat="1" applyFont="1" applyFill="1" applyBorder="1" applyAlignment="1" applyProtection="1">
      <alignment horizontal="right"/>
      <protection locked="0"/>
    </xf>
    <xf numFmtId="165" fontId="3" fillId="6" borderId="1" xfId="0" applyNumberFormat="1" applyFont="1" applyFill="1" applyBorder="1" applyProtection="1">
      <protection locked="0"/>
    </xf>
    <xf numFmtId="173" fontId="3" fillId="6" borderId="1" xfId="0" applyNumberFormat="1" applyFont="1" applyFill="1" applyBorder="1" applyProtection="1">
      <protection locked="0"/>
    </xf>
    <xf numFmtId="7" fontId="3" fillId="6" borderId="4" xfId="0" applyNumberFormat="1" applyFont="1" applyFill="1" applyBorder="1" applyProtection="1">
      <protection locked="0"/>
    </xf>
    <xf numFmtId="176" fontId="3" fillId="6" borderId="4" xfId="0" applyNumberFormat="1" applyFont="1" applyFill="1" applyBorder="1" applyProtection="1">
      <protection locked="0"/>
    </xf>
    <xf numFmtId="175" fontId="3" fillId="6" borderId="4" xfId="0" applyNumberFormat="1" applyFont="1" applyFill="1" applyBorder="1" applyProtection="1">
      <protection locked="0"/>
    </xf>
    <xf numFmtId="164" fontId="3" fillId="6" borderId="1" xfId="0" applyNumberFormat="1" applyFont="1" applyFill="1" applyBorder="1" applyProtection="1">
      <protection locked="0"/>
    </xf>
    <xf numFmtId="165" fontId="3" fillId="6" borderId="1" xfId="4" applyNumberFormat="1" applyFont="1" applyFill="1" applyBorder="1" applyProtection="1">
      <protection locked="0"/>
    </xf>
    <xf numFmtId="175" fontId="3" fillId="6" borderId="1" xfId="0" applyNumberFormat="1" applyFont="1" applyFill="1" applyBorder="1" applyProtection="1">
      <protection locked="0"/>
    </xf>
    <xf numFmtId="10" fontId="3" fillId="6" borderId="1" xfId="4" applyNumberFormat="1" applyFont="1" applyFill="1" applyBorder="1" applyProtection="1">
      <protection locked="0"/>
    </xf>
    <xf numFmtId="170" fontId="3" fillId="6" borderId="1" xfId="1" applyNumberFormat="1" applyFont="1" applyFill="1" applyBorder="1" applyProtection="1">
      <protection locked="0"/>
    </xf>
    <xf numFmtId="171" fontId="3" fillId="6" borderId="1" xfId="1" applyNumberFormat="1" applyFont="1" applyFill="1" applyBorder="1" applyProtection="1">
      <protection locked="0"/>
    </xf>
    <xf numFmtId="175" fontId="3" fillId="6" borderId="1" xfId="2" applyNumberFormat="1" applyFont="1" applyFill="1" applyBorder="1" applyProtection="1">
      <protection locked="0"/>
    </xf>
    <xf numFmtId="174" fontId="3" fillId="6" borderId="1" xfId="1" applyNumberFormat="1" applyFont="1" applyFill="1" applyBorder="1" applyProtection="1">
      <protection locked="0"/>
    </xf>
    <xf numFmtId="7" fontId="3" fillId="6" borderId="1" xfId="0" applyNumberFormat="1" applyFont="1" applyFill="1" applyBorder="1" applyProtection="1">
      <protection locked="0"/>
    </xf>
    <xf numFmtId="9" fontId="3" fillId="6" borderId="1" xfId="4" applyFont="1" applyFill="1" applyBorder="1" applyProtection="1">
      <protection locked="0"/>
    </xf>
    <xf numFmtId="165" fontId="3" fillId="6" borderId="12" xfId="4" applyNumberFormat="1" applyFont="1" applyFill="1" applyBorder="1" applyProtection="1">
      <protection locked="0"/>
    </xf>
    <xf numFmtId="165" fontId="3" fillId="6" borderId="4" xfId="4" applyNumberFormat="1" applyFont="1" applyFill="1" applyBorder="1" applyProtection="1">
      <protection locked="0"/>
    </xf>
    <xf numFmtId="10" fontId="3" fillId="6" borderId="4" xfId="4" applyNumberFormat="1" applyFont="1" applyFill="1" applyBorder="1" applyProtection="1">
      <protection locked="0"/>
    </xf>
    <xf numFmtId="0" fontId="2" fillId="3" borderId="17" xfId="0" applyFont="1" applyFill="1" applyBorder="1" applyAlignment="1">
      <alignment horizontal="center"/>
    </xf>
    <xf numFmtId="0" fontId="2" fillId="3" borderId="18" xfId="0" applyFont="1" applyFill="1" applyBorder="1" applyAlignment="1">
      <alignment horizontal="center"/>
    </xf>
    <xf numFmtId="0" fontId="0" fillId="0" borderId="6" xfId="0" applyBorder="1"/>
    <xf numFmtId="0" fontId="0" fillId="0" borderId="2" xfId="0" applyBorder="1"/>
    <xf numFmtId="0" fontId="2" fillId="0" borderId="3" xfId="0" applyFont="1" applyBorder="1"/>
    <xf numFmtId="0" fontId="2" fillId="0" borderId="2" xfId="0" applyFont="1" applyBorder="1" applyAlignment="1">
      <alignment horizontal="right"/>
    </xf>
    <xf numFmtId="0" fontId="1" fillId="6" borderId="0" xfId="0" applyFont="1" applyFill="1"/>
    <xf numFmtId="0" fontId="1" fillId="0" borderId="3" xfId="0" applyFont="1" applyBorder="1"/>
    <xf numFmtId="0" fontId="6" fillId="0" borderId="0" xfId="0" applyFont="1" applyAlignment="1">
      <alignment horizontal="right" indent="1"/>
    </xf>
    <xf numFmtId="0" fontId="6" fillId="0" borderId="0" xfId="0" applyFont="1" applyAlignment="1">
      <alignment horizontal="center"/>
    </xf>
    <xf numFmtId="0" fontId="6" fillId="0" borderId="3" xfId="0" applyFont="1" applyBorder="1" applyAlignment="1">
      <alignment horizontal="center"/>
    </xf>
    <xf numFmtId="0" fontId="1" fillId="0" borderId="0" xfId="0" applyFont="1" applyAlignment="1">
      <alignment horizontal="right" indent="1"/>
    </xf>
    <xf numFmtId="0" fontId="3" fillId="0" borderId="0" xfId="0" applyFont="1" applyAlignment="1">
      <alignment horizontal="right" indent="1"/>
    </xf>
    <xf numFmtId="0" fontId="3" fillId="0" borderId="2" xfId="0" applyFont="1" applyBorder="1" applyAlignment="1">
      <alignment horizontal="center"/>
    </xf>
    <xf numFmtId="165" fontId="3" fillId="0" borderId="0" xfId="0" applyNumberFormat="1" applyFont="1" applyAlignment="1">
      <alignment horizontal="center"/>
    </xf>
    <xf numFmtId="164" fontId="3" fillId="0" borderId="3" xfId="0" applyNumberFormat="1" applyFont="1" applyBorder="1"/>
    <xf numFmtId="0" fontId="3" fillId="0" borderId="0" xfId="0" applyFont="1" applyAlignment="1">
      <alignment horizontal="right"/>
    </xf>
    <xf numFmtId="0" fontId="3" fillId="0" borderId="2" xfId="0" applyFont="1" applyBorder="1" applyAlignment="1">
      <alignment horizontal="right"/>
    </xf>
    <xf numFmtId="0" fontId="3" fillId="0" borderId="9" xfId="0" applyFont="1" applyBorder="1"/>
    <xf numFmtId="0" fontId="1" fillId="0" borderId="14" xfId="0" applyFont="1" applyBorder="1" applyAlignment="1">
      <alignment horizontal="right" indent="1"/>
    </xf>
    <xf numFmtId="164" fontId="3" fillId="0" borderId="14" xfId="0" applyNumberFormat="1" applyFont="1" applyBorder="1"/>
    <xf numFmtId="0" fontId="3" fillId="0" borderId="14" xfId="0" applyFont="1" applyBorder="1" applyAlignment="1">
      <alignment horizontal="right" indent="1"/>
    </xf>
    <xf numFmtId="0" fontId="3" fillId="0" borderId="14" xfId="0" applyFont="1" applyBorder="1"/>
    <xf numFmtId="0" fontId="3" fillId="0" borderId="9" xfId="0" applyFont="1" applyBorder="1" applyAlignment="1">
      <alignment horizontal="center"/>
    </xf>
    <xf numFmtId="165" fontId="3" fillId="0" borderId="14" xfId="0" applyNumberFormat="1" applyFont="1" applyBorder="1" applyAlignment="1">
      <alignment horizontal="center"/>
    </xf>
    <xf numFmtId="164" fontId="3" fillId="0" borderId="10" xfId="0" applyNumberFormat="1" applyFont="1" applyBorder="1"/>
    <xf numFmtId="165" fontId="3" fillId="0" borderId="16" xfId="0" applyNumberFormat="1" applyFont="1" applyBorder="1" applyAlignment="1">
      <alignment horizontal="center"/>
    </xf>
    <xf numFmtId="164" fontId="3" fillId="0" borderId="0" xfId="0" applyNumberFormat="1" applyFont="1" applyAlignment="1">
      <alignment horizontal="left" indent="2"/>
    </xf>
    <xf numFmtId="0" fontId="3" fillId="0" borderId="0" xfId="0" applyFont="1" applyAlignment="1">
      <alignment horizontal="center"/>
    </xf>
    <xf numFmtId="2" fontId="3" fillId="0" borderId="0" xfId="0" applyNumberFormat="1" applyFont="1"/>
    <xf numFmtId="0" fontId="2" fillId="0" borderId="0" xfId="0" applyFont="1" applyAlignment="1">
      <alignment horizontal="center" wrapText="1"/>
    </xf>
    <xf numFmtId="164" fontId="2" fillId="0" borderId="0" xfId="0" applyNumberFormat="1" applyFont="1" applyAlignment="1">
      <alignment horizontal="left" indent="2"/>
    </xf>
    <xf numFmtId="164" fontId="2" fillId="0" borderId="3" xfId="0" applyNumberFormat="1" applyFont="1" applyBorder="1" applyAlignment="1">
      <alignment horizontal="left" indent="2"/>
    </xf>
    <xf numFmtId="164" fontId="2" fillId="0" borderId="14" xfId="0" applyNumberFormat="1" applyFont="1" applyBorder="1" applyAlignment="1">
      <alignment horizontal="left" indent="2"/>
    </xf>
    <xf numFmtId="164" fontId="2" fillId="0" borderId="10" xfId="0" applyNumberFormat="1" applyFont="1" applyBorder="1" applyAlignment="1">
      <alignment horizontal="left" indent="2"/>
    </xf>
    <xf numFmtId="0" fontId="1" fillId="6" borderId="0" xfId="0" applyFont="1" applyFill="1" applyProtection="1">
      <protection locked="0"/>
    </xf>
    <xf numFmtId="164" fontId="1" fillId="6" borderId="5" xfId="0" applyNumberFormat="1" applyFont="1" applyFill="1" applyBorder="1" applyProtection="1">
      <protection locked="0"/>
    </xf>
    <xf numFmtId="0" fontId="16" fillId="0" borderId="0" xfId="0" applyFont="1" applyAlignment="1">
      <alignment wrapText="1"/>
    </xf>
    <xf numFmtId="164" fontId="1" fillId="6" borderId="15" xfId="0" applyNumberFormat="1" applyFont="1" applyFill="1" applyBorder="1" applyProtection="1">
      <protection locked="0"/>
    </xf>
    <xf numFmtId="167" fontId="3" fillId="0" borderId="0" xfId="0" applyNumberFormat="1" applyFont="1" applyAlignment="1">
      <alignment horizontal="left" indent="2"/>
    </xf>
    <xf numFmtId="167" fontId="3" fillId="0" borderId="14" xfId="0" applyNumberFormat="1" applyFont="1" applyBorder="1" applyAlignment="1">
      <alignment horizontal="left" indent="2"/>
    </xf>
    <xf numFmtId="167" fontId="3" fillId="0" borderId="3" xfId="0" applyNumberFormat="1" applyFont="1" applyBorder="1" applyAlignment="1">
      <alignment horizontal="left" indent="2"/>
    </xf>
    <xf numFmtId="167" fontId="3" fillId="0" borderId="10" xfId="0" applyNumberFormat="1" applyFont="1" applyBorder="1" applyAlignment="1">
      <alignment horizontal="left" indent="2"/>
    </xf>
    <xf numFmtId="7" fontId="1" fillId="0" borderId="0" xfId="0" applyNumberFormat="1" applyFont="1"/>
    <xf numFmtId="7" fontId="2" fillId="0" borderId="3" xfId="0" applyNumberFormat="1" applyFont="1" applyBorder="1"/>
    <xf numFmtId="0" fontId="17" fillId="5" borderId="6" xfId="0" applyFont="1" applyFill="1" applyBorder="1" applyAlignment="1">
      <alignment horizontal="center"/>
    </xf>
    <xf numFmtId="0" fontId="17" fillId="5" borderId="7" xfId="0" applyFont="1" applyFill="1" applyBorder="1" applyAlignment="1">
      <alignment horizontal="center"/>
    </xf>
    <xf numFmtId="0" fontId="22" fillId="0" borderId="0" xfId="0" applyFont="1" applyAlignment="1">
      <alignment horizontal="left" wrapText="1"/>
    </xf>
    <xf numFmtId="0" fontId="2" fillId="0" borderId="0" xfId="0" applyFont="1"/>
    <xf numFmtId="0" fontId="15" fillId="0" borderId="0" xfId="3" applyFont="1" applyAlignment="1" applyProtection="1">
      <alignment horizontal="left" wrapText="1"/>
    </xf>
    <xf numFmtId="0" fontId="9" fillId="0" borderId="0" xfId="3" applyAlignment="1" applyProtection="1">
      <alignment horizontal="left" wrapText="1"/>
    </xf>
    <xf numFmtId="0" fontId="2" fillId="0" borderId="14" xfId="0" applyFont="1" applyBorder="1" applyAlignment="1">
      <alignment horizontal="center"/>
    </xf>
    <xf numFmtId="0" fontId="2" fillId="0" borderId="10"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7" xfId="0" applyFont="1" applyBorder="1" applyAlignment="1">
      <alignment horizontal="center"/>
    </xf>
    <xf numFmtId="0" fontId="6" fillId="0" borderId="2" xfId="0" applyFont="1" applyBorder="1" applyAlignment="1">
      <alignment horizontal="center"/>
    </xf>
    <xf numFmtId="0" fontId="1" fillId="0" borderId="0" xfId="0" applyFont="1" applyAlignment="1">
      <alignment horizontal="center" wrapText="1"/>
    </xf>
    <xf numFmtId="0" fontId="1" fillId="0" borderId="3" xfId="0" applyFont="1" applyBorder="1" applyAlignment="1">
      <alignment horizontal="center" wrapText="1"/>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66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Storage Costs for Corn</a:t>
            </a:r>
          </a:p>
        </c:rich>
      </c:tx>
      <c:layout>
        <c:manualLayout>
          <c:xMode val="edge"/>
          <c:yMode val="edge"/>
          <c:x val="0.27365215787018665"/>
          <c:y val="5.6534508076358299E-2"/>
        </c:manualLayout>
      </c:layout>
      <c:overlay val="0"/>
    </c:title>
    <c:autoTitleDeleted val="0"/>
    <c:plotArea>
      <c:layout>
        <c:manualLayout>
          <c:layoutTarget val="inner"/>
          <c:xMode val="edge"/>
          <c:yMode val="edge"/>
          <c:x val="0.13262620941276965"/>
          <c:y val="0.22026490942304688"/>
          <c:w val="0.85809157490061938"/>
          <c:h val="0.53744637899223424"/>
        </c:manualLayout>
      </c:layout>
      <c:lineChart>
        <c:grouping val="standard"/>
        <c:varyColors val="0"/>
        <c:ser>
          <c:idx val="0"/>
          <c:order val="0"/>
          <c:tx>
            <c:strRef>
              <c:f>'Cost by Month'!$E$5</c:f>
              <c:strCache>
                <c:ptCount val="1"/>
                <c:pt idx="0">
                  <c:v>Commercial</c:v>
                </c:pt>
              </c:strCache>
            </c:strRef>
          </c:tx>
          <c:cat>
            <c:strRef>
              <c:f>'Cost by Month'!$C$6:$C$17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Month'!$E$6:$E$17</c:f>
              <c:numCache>
                <c:formatCode>"$"#,##0.000</c:formatCode>
                <c:ptCount val="12"/>
                <c:pt idx="0">
                  <c:v>3.3599999999999998E-2</c:v>
                </c:pt>
                <c:pt idx="1">
                  <c:v>0.1172</c:v>
                </c:pt>
                <c:pt idx="2">
                  <c:v>0.20080000000000001</c:v>
                </c:pt>
                <c:pt idx="3">
                  <c:v>0.28439999999999999</c:v>
                </c:pt>
                <c:pt idx="4">
                  <c:v>0.36799999999999999</c:v>
                </c:pt>
                <c:pt idx="5">
                  <c:v>0.4516</c:v>
                </c:pt>
                <c:pt idx="6">
                  <c:v>0.53520000000000001</c:v>
                </c:pt>
                <c:pt idx="7">
                  <c:v>0.61880000000000002</c:v>
                </c:pt>
                <c:pt idx="8">
                  <c:v>0.70240000000000002</c:v>
                </c:pt>
                <c:pt idx="9">
                  <c:v>0.78600000000000003</c:v>
                </c:pt>
                <c:pt idx="10">
                  <c:v>0.86959999999999993</c:v>
                </c:pt>
                <c:pt idx="11">
                  <c:v>0.95320000000000005</c:v>
                </c:pt>
              </c:numCache>
            </c:numRef>
          </c:val>
          <c:smooth val="0"/>
          <c:extLst>
            <c:ext xmlns:c16="http://schemas.microsoft.com/office/drawing/2014/chart" uri="{C3380CC4-5D6E-409C-BE32-E72D297353CC}">
              <c16:uniqueId val="{00000000-3830-4A8C-9E2C-5D99F0F87683}"/>
            </c:ext>
          </c:extLst>
        </c:ser>
        <c:ser>
          <c:idx val="1"/>
          <c:order val="1"/>
          <c:tx>
            <c:strRef>
              <c:f>'Cost by Month'!$D$5</c:f>
              <c:strCache>
                <c:ptCount val="1"/>
                <c:pt idx="0">
                  <c:v>On-Farm</c:v>
                </c:pt>
              </c:strCache>
            </c:strRef>
          </c:tx>
          <c:cat>
            <c:strRef>
              <c:f>'Cost by Month'!$C$6:$C$17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Month'!$D$6:$D$17</c:f>
              <c:numCache>
                <c:formatCode>"$"#,##0.000</c:formatCode>
                <c:ptCount val="12"/>
                <c:pt idx="0">
                  <c:v>0.113265</c:v>
                </c:pt>
                <c:pt idx="1">
                  <c:v>0.1474425</c:v>
                </c:pt>
                <c:pt idx="2">
                  <c:v>0.18162</c:v>
                </c:pt>
                <c:pt idx="3">
                  <c:v>0.2157975</c:v>
                </c:pt>
                <c:pt idx="4">
                  <c:v>0.24997500000000006</c:v>
                </c:pt>
                <c:pt idx="5">
                  <c:v>0.28415250000000003</c:v>
                </c:pt>
                <c:pt idx="6">
                  <c:v>0.31833</c:v>
                </c:pt>
                <c:pt idx="7">
                  <c:v>0.35250749999999997</c:v>
                </c:pt>
                <c:pt idx="8">
                  <c:v>0.38668500000000006</c:v>
                </c:pt>
                <c:pt idx="9">
                  <c:v>0.42086250000000003</c:v>
                </c:pt>
                <c:pt idx="10">
                  <c:v>0.45504</c:v>
                </c:pt>
                <c:pt idx="11">
                  <c:v>0.48921749999999997</c:v>
                </c:pt>
              </c:numCache>
            </c:numRef>
          </c:val>
          <c:smooth val="0"/>
          <c:extLst>
            <c:ext xmlns:c16="http://schemas.microsoft.com/office/drawing/2014/chart" uri="{C3380CC4-5D6E-409C-BE32-E72D297353CC}">
              <c16:uniqueId val="{00000001-3830-4A8C-9E2C-5D99F0F87683}"/>
            </c:ext>
          </c:extLst>
        </c:ser>
        <c:dLbls>
          <c:showLegendKey val="0"/>
          <c:showVal val="0"/>
          <c:showCatName val="0"/>
          <c:showSerName val="0"/>
          <c:showPercent val="0"/>
          <c:showBubbleSize val="0"/>
        </c:dLbls>
        <c:marker val="1"/>
        <c:smooth val="0"/>
        <c:axId val="344280560"/>
        <c:axId val="344280952"/>
      </c:lineChart>
      <c:catAx>
        <c:axId val="344280560"/>
        <c:scaling>
          <c:orientation val="minMax"/>
        </c:scaling>
        <c:delete val="0"/>
        <c:axPos val="b"/>
        <c:numFmt formatCode="General" sourceLinked="1"/>
        <c:majorTickMark val="out"/>
        <c:minorTickMark val="none"/>
        <c:tickLblPos val="nextTo"/>
        <c:txPr>
          <a:bodyPr rot="-2700000" vert="horz"/>
          <a:lstStyle/>
          <a:p>
            <a:pPr>
              <a:defRPr sz="1050"/>
            </a:pPr>
            <a:endParaRPr lang="en-US"/>
          </a:p>
        </c:txPr>
        <c:crossAx val="344280952"/>
        <c:crosses val="autoZero"/>
        <c:auto val="1"/>
        <c:lblAlgn val="ctr"/>
        <c:lblOffset val="100"/>
        <c:tickLblSkip val="1"/>
        <c:tickMarkSkip val="1"/>
        <c:noMultiLvlLbl val="0"/>
      </c:catAx>
      <c:valAx>
        <c:axId val="344280952"/>
        <c:scaling>
          <c:orientation val="minMax"/>
        </c:scaling>
        <c:delete val="0"/>
        <c:axPos val="l"/>
        <c:majorGridlines/>
        <c:title>
          <c:tx>
            <c:rich>
              <a:bodyPr/>
              <a:lstStyle/>
              <a:p>
                <a:pPr>
                  <a:defRPr/>
                </a:pPr>
                <a:r>
                  <a:rPr lang="en-US"/>
                  <a:t>$/bu.</a:t>
                </a:r>
              </a:p>
            </c:rich>
          </c:tx>
          <c:layout>
            <c:manualLayout>
              <c:xMode val="edge"/>
              <c:yMode val="edge"/>
              <c:x val="1.9893931411915443E-2"/>
              <c:y val="0.44713776612878509"/>
            </c:manualLayout>
          </c:layout>
          <c:overlay val="0"/>
        </c:title>
        <c:numFmt formatCode="&quot;$&quot;#,##0.000" sourceLinked="1"/>
        <c:majorTickMark val="out"/>
        <c:minorTickMark val="none"/>
        <c:tickLblPos val="nextTo"/>
        <c:txPr>
          <a:bodyPr rot="0" vert="horz"/>
          <a:lstStyle/>
          <a:p>
            <a:pPr>
              <a:defRPr/>
            </a:pPr>
            <a:endParaRPr lang="en-US"/>
          </a:p>
        </c:txPr>
        <c:crossAx val="344280560"/>
        <c:crosses val="autoZero"/>
        <c:crossBetween val="between"/>
      </c:valAx>
    </c:plotArea>
    <c:legend>
      <c:legendPos val="b"/>
      <c:overlay val="0"/>
    </c:legend>
    <c:plotVisOnly val="1"/>
    <c:dispBlanksAs val="gap"/>
    <c:showDLblsOverMax val="0"/>
  </c:chart>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Storage Costs for Soybeans</a:t>
            </a:r>
          </a:p>
        </c:rich>
      </c:tx>
      <c:layout>
        <c:manualLayout>
          <c:xMode val="edge"/>
          <c:yMode val="edge"/>
          <c:x val="0.25817912515577462"/>
          <c:y val="7.476635514018691E-2"/>
        </c:manualLayout>
      </c:layout>
      <c:overlay val="0"/>
    </c:title>
    <c:autoTitleDeleted val="0"/>
    <c:plotArea>
      <c:layout>
        <c:manualLayout>
          <c:layoutTarget val="inner"/>
          <c:xMode val="edge"/>
          <c:yMode val="edge"/>
          <c:x val="0.13527873360102502"/>
          <c:y val="0.22196280674113913"/>
          <c:w val="0.85543905071236404"/>
          <c:h val="0.52102848319235828"/>
        </c:manualLayout>
      </c:layout>
      <c:lineChart>
        <c:grouping val="standard"/>
        <c:varyColors val="0"/>
        <c:ser>
          <c:idx val="0"/>
          <c:order val="0"/>
          <c:tx>
            <c:strRef>
              <c:f>'Cost by Month'!$E$5</c:f>
              <c:strCache>
                <c:ptCount val="1"/>
                <c:pt idx="0">
                  <c:v>Commercial</c:v>
                </c:pt>
              </c:strCache>
            </c:strRef>
          </c:tx>
          <c:cat>
            <c:strRef>
              <c:f>'Cost by Month'!$G$6:$G$17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Month'!$I$6:$I$17</c:f>
              <c:numCache>
                <c:formatCode>"$"#,##0.000</c:formatCode>
                <c:ptCount val="12"/>
                <c:pt idx="0">
                  <c:v>0.15586666666666665</c:v>
                </c:pt>
                <c:pt idx="1">
                  <c:v>0.31173333333333331</c:v>
                </c:pt>
                <c:pt idx="2">
                  <c:v>0.46760000000000002</c:v>
                </c:pt>
                <c:pt idx="3">
                  <c:v>0.62346666666666661</c:v>
                </c:pt>
                <c:pt idx="4">
                  <c:v>0.77933333333333343</c:v>
                </c:pt>
                <c:pt idx="5">
                  <c:v>0.93520000000000003</c:v>
                </c:pt>
                <c:pt idx="6">
                  <c:v>1.0910666666666666</c:v>
                </c:pt>
                <c:pt idx="7">
                  <c:v>1.2469333333333332</c:v>
                </c:pt>
                <c:pt idx="8">
                  <c:v>1.4028</c:v>
                </c:pt>
                <c:pt idx="9">
                  <c:v>1.5586666666666669</c:v>
                </c:pt>
                <c:pt idx="10">
                  <c:v>1.7145333333333332</c:v>
                </c:pt>
                <c:pt idx="11">
                  <c:v>1.8704000000000001</c:v>
                </c:pt>
              </c:numCache>
            </c:numRef>
          </c:val>
          <c:smooth val="0"/>
          <c:extLst>
            <c:ext xmlns:c16="http://schemas.microsoft.com/office/drawing/2014/chart" uri="{C3380CC4-5D6E-409C-BE32-E72D297353CC}">
              <c16:uniqueId val="{00000000-6649-4E73-B545-428D21BA1B3E}"/>
            </c:ext>
          </c:extLst>
        </c:ser>
        <c:ser>
          <c:idx val="1"/>
          <c:order val="1"/>
          <c:tx>
            <c:strRef>
              <c:f>'Cost by Month'!$D$5</c:f>
              <c:strCache>
                <c:ptCount val="1"/>
                <c:pt idx="0">
                  <c:v>On-Farm</c:v>
                </c:pt>
              </c:strCache>
            </c:strRef>
          </c:tx>
          <c:cat>
            <c:strRef>
              <c:f>'Cost by Month'!$G$6:$G$17</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'Cost by Month'!$H$6:$H$17</c:f>
              <c:numCache>
                <c:formatCode>"$"#,##0.000</c:formatCode>
                <c:ptCount val="12"/>
                <c:pt idx="0">
                  <c:v>0.20588516666666667</c:v>
                </c:pt>
                <c:pt idx="1">
                  <c:v>0.29227158333333331</c:v>
                </c:pt>
                <c:pt idx="2">
                  <c:v>0.37865800000000005</c:v>
                </c:pt>
                <c:pt idx="3">
                  <c:v>0.46504441666666668</c:v>
                </c:pt>
                <c:pt idx="4">
                  <c:v>0.55143083333333331</c:v>
                </c:pt>
                <c:pt idx="5">
                  <c:v>0.63781724999999989</c:v>
                </c:pt>
                <c:pt idx="6">
                  <c:v>0.72420366666666669</c:v>
                </c:pt>
                <c:pt idx="7">
                  <c:v>0.81059008333333327</c:v>
                </c:pt>
                <c:pt idx="8">
                  <c:v>0.89697650000000007</c:v>
                </c:pt>
                <c:pt idx="9">
                  <c:v>0.98336291666666664</c:v>
                </c:pt>
                <c:pt idx="10">
                  <c:v>1.0697493333333332</c:v>
                </c:pt>
                <c:pt idx="11">
                  <c:v>1.15613575</c:v>
                </c:pt>
              </c:numCache>
            </c:numRef>
          </c:val>
          <c:smooth val="0"/>
          <c:extLst>
            <c:ext xmlns:c16="http://schemas.microsoft.com/office/drawing/2014/chart" uri="{C3380CC4-5D6E-409C-BE32-E72D297353CC}">
              <c16:uniqueId val="{00000001-6649-4E73-B545-428D21BA1B3E}"/>
            </c:ext>
          </c:extLst>
        </c:ser>
        <c:dLbls>
          <c:showLegendKey val="0"/>
          <c:showVal val="0"/>
          <c:showCatName val="0"/>
          <c:showSerName val="0"/>
          <c:showPercent val="0"/>
          <c:showBubbleSize val="0"/>
        </c:dLbls>
        <c:marker val="1"/>
        <c:smooth val="0"/>
        <c:axId val="344281736"/>
        <c:axId val="344282128"/>
      </c:lineChart>
      <c:catAx>
        <c:axId val="344281736"/>
        <c:scaling>
          <c:orientation val="minMax"/>
        </c:scaling>
        <c:delete val="0"/>
        <c:axPos val="b"/>
        <c:numFmt formatCode="General" sourceLinked="1"/>
        <c:majorTickMark val="out"/>
        <c:minorTickMark val="none"/>
        <c:tickLblPos val="nextTo"/>
        <c:txPr>
          <a:bodyPr rot="-2700000" vert="horz"/>
          <a:lstStyle/>
          <a:p>
            <a:pPr>
              <a:defRPr sz="1050"/>
            </a:pPr>
            <a:endParaRPr lang="en-US"/>
          </a:p>
        </c:txPr>
        <c:crossAx val="344282128"/>
        <c:crosses val="autoZero"/>
        <c:auto val="1"/>
        <c:lblAlgn val="ctr"/>
        <c:lblOffset val="100"/>
        <c:tickLblSkip val="1"/>
        <c:tickMarkSkip val="1"/>
        <c:noMultiLvlLbl val="0"/>
      </c:catAx>
      <c:valAx>
        <c:axId val="344282128"/>
        <c:scaling>
          <c:orientation val="minMax"/>
        </c:scaling>
        <c:delete val="0"/>
        <c:axPos val="l"/>
        <c:majorGridlines/>
        <c:title>
          <c:tx>
            <c:rich>
              <a:bodyPr/>
              <a:lstStyle/>
              <a:p>
                <a:pPr>
                  <a:defRPr/>
                </a:pPr>
                <a:r>
                  <a:rPr lang="en-US"/>
                  <a:t>$/bu.</a:t>
                </a:r>
              </a:p>
            </c:rich>
          </c:tx>
          <c:layout>
            <c:manualLayout>
              <c:xMode val="edge"/>
              <c:yMode val="edge"/>
              <c:x val="2.7851503976681624E-2"/>
              <c:y val="0.43691626169045283"/>
            </c:manualLayout>
          </c:layout>
          <c:overlay val="0"/>
        </c:title>
        <c:numFmt formatCode="&quot;$&quot;#,##0.000" sourceLinked="1"/>
        <c:majorTickMark val="out"/>
        <c:minorTickMark val="none"/>
        <c:tickLblPos val="nextTo"/>
        <c:txPr>
          <a:bodyPr rot="0" vert="horz"/>
          <a:lstStyle/>
          <a:p>
            <a:pPr>
              <a:defRPr/>
            </a:pPr>
            <a:endParaRPr lang="en-US"/>
          </a:p>
        </c:txPr>
        <c:crossAx val="344281736"/>
        <c:crosses val="autoZero"/>
        <c:crossBetween val="between"/>
        <c:majorUnit val="0.2"/>
      </c:valAx>
    </c:plotArea>
    <c:legend>
      <c:legendPos val="b"/>
      <c:overlay val="0"/>
    </c:legend>
    <c:plotVisOnly val="1"/>
    <c:dispBlanksAs val="gap"/>
    <c:showDLblsOverMax val="0"/>
  </c:chart>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Storage Costs for Spring</a:t>
            </a:r>
            <a:r>
              <a:rPr lang="en-US" sz="1600" baseline="0"/>
              <a:t> Wheat</a:t>
            </a:r>
          </a:p>
        </c:rich>
      </c:tx>
      <c:layout>
        <c:manualLayout>
          <c:xMode val="edge"/>
          <c:yMode val="edge"/>
          <c:x val="0.25817912515577462"/>
          <c:y val="7.476635514018691E-2"/>
        </c:manualLayout>
      </c:layout>
      <c:overlay val="0"/>
    </c:title>
    <c:autoTitleDeleted val="0"/>
    <c:plotArea>
      <c:layout>
        <c:manualLayout>
          <c:layoutTarget val="inner"/>
          <c:xMode val="edge"/>
          <c:yMode val="edge"/>
          <c:x val="0.13527873360102502"/>
          <c:y val="0.22196280674113913"/>
          <c:w val="0.85543905071236404"/>
          <c:h val="0.52102848319235828"/>
        </c:manualLayout>
      </c:layout>
      <c:lineChart>
        <c:grouping val="standard"/>
        <c:varyColors val="0"/>
        <c:ser>
          <c:idx val="0"/>
          <c:order val="0"/>
          <c:tx>
            <c:strRef>
              <c:f>'Cost by Month'!$M$5</c:f>
              <c:strCache>
                <c:ptCount val="1"/>
                <c:pt idx="0">
                  <c:v>Commercial</c:v>
                </c:pt>
              </c:strCache>
            </c:strRef>
          </c:tx>
          <c:cat>
            <c:strRef>
              <c:f>'Cost by Month'!$K$6:$K$17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'Cost by Month'!$M$6:$M$17</c:f>
              <c:numCache>
                <c:formatCode>"$"#,##0.000</c:formatCode>
                <c:ptCount val="12"/>
                <c:pt idx="0">
                  <c:v>5.2400000000000002E-2</c:v>
                </c:pt>
                <c:pt idx="1">
                  <c:v>0.15479999999999999</c:v>
                </c:pt>
                <c:pt idx="2">
                  <c:v>0.25719999999999998</c:v>
                </c:pt>
                <c:pt idx="3">
                  <c:v>0.35960000000000003</c:v>
                </c:pt>
                <c:pt idx="4">
                  <c:v>0.46200000000000002</c:v>
                </c:pt>
                <c:pt idx="5">
                  <c:v>0.56440000000000001</c:v>
                </c:pt>
                <c:pt idx="6">
                  <c:v>0.66680000000000006</c:v>
                </c:pt>
                <c:pt idx="7">
                  <c:v>0.76920000000000011</c:v>
                </c:pt>
                <c:pt idx="8">
                  <c:v>0.87160000000000004</c:v>
                </c:pt>
                <c:pt idx="9">
                  <c:v>0.97399999999999998</c:v>
                </c:pt>
                <c:pt idx="10">
                  <c:v>1.0764</c:v>
                </c:pt>
                <c:pt idx="11">
                  <c:v>1.1788000000000001</c:v>
                </c:pt>
              </c:numCache>
            </c:numRef>
          </c:val>
          <c:smooth val="0"/>
          <c:extLst>
            <c:ext xmlns:c16="http://schemas.microsoft.com/office/drawing/2014/chart" uri="{C3380CC4-5D6E-409C-BE32-E72D297353CC}">
              <c16:uniqueId val="{00000000-61EA-4231-8DED-24B111F784FC}"/>
            </c:ext>
          </c:extLst>
        </c:ser>
        <c:ser>
          <c:idx val="1"/>
          <c:order val="1"/>
          <c:tx>
            <c:strRef>
              <c:f>'Cost by Month'!$L$5</c:f>
              <c:strCache>
                <c:ptCount val="1"/>
                <c:pt idx="0">
                  <c:v>On-Farm</c:v>
                </c:pt>
              </c:strCache>
            </c:strRef>
          </c:tx>
          <c:cat>
            <c:strRef>
              <c:f>'Cost by Month'!$K$6:$K$17</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'Cost by Month'!$L$6:$L$17</c:f>
              <c:numCache>
                <c:formatCode>"$"#,##0.000</c:formatCode>
                <c:ptCount val="12"/>
                <c:pt idx="0">
                  <c:v>0.14835800000000002</c:v>
                </c:pt>
                <c:pt idx="1">
                  <c:v>0.20145100000000002</c:v>
                </c:pt>
                <c:pt idx="2">
                  <c:v>0.25454399999999999</c:v>
                </c:pt>
                <c:pt idx="3">
                  <c:v>0.30763700000000005</c:v>
                </c:pt>
                <c:pt idx="4">
                  <c:v>0.36073</c:v>
                </c:pt>
                <c:pt idx="5">
                  <c:v>0.41382300000000005</c:v>
                </c:pt>
                <c:pt idx="6">
                  <c:v>0.466916</c:v>
                </c:pt>
                <c:pt idx="7">
                  <c:v>0.52000900000000005</c:v>
                </c:pt>
                <c:pt idx="8">
                  <c:v>0.573102</c:v>
                </c:pt>
                <c:pt idx="9">
                  <c:v>0.62619500000000006</c:v>
                </c:pt>
                <c:pt idx="10">
                  <c:v>0.679288</c:v>
                </c:pt>
                <c:pt idx="11">
                  <c:v>0.73238100000000006</c:v>
                </c:pt>
              </c:numCache>
            </c:numRef>
          </c:val>
          <c:smooth val="0"/>
          <c:extLst>
            <c:ext xmlns:c16="http://schemas.microsoft.com/office/drawing/2014/chart" uri="{C3380CC4-5D6E-409C-BE32-E72D297353CC}">
              <c16:uniqueId val="{00000001-61EA-4231-8DED-24B111F784FC}"/>
            </c:ext>
          </c:extLst>
        </c:ser>
        <c:dLbls>
          <c:showLegendKey val="0"/>
          <c:showVal val="0"/>
          <c:showCatName val="0"/>
          <c:showSerName val="0"/>
          <c:showPercent val="0"/>
          <c:showBubbleSize val="0"/>
        </c:dLbls>
        <c:marker val="1"/>
        <c:smooth val="0"/>
        <c:axId val="344282912"/>
        <c:axId val="344283304"/>
      </c:lineChart>
      <c:catAx>
        <c:axId val="344282912"/>
        <c:scaling>
          <c:orientation val="minMax"/>
        </c:scaling>
        <c:delete val="0"/>
        <c:axPos val="b"/>
        <c:numFmt formatCode="General" sourceLinked="1"/>
        <c:majorTickMark val="out"/>
        <c:minorTickMark val="none"/>
        <c:tickLblPos val="nextTo"/>
        <c:txPr>
          <a:bodyPr rot="-2700000" vert="horz"/>
          <a:lstStyle/>
          <a:p>
            <a:pPr>
              <a:defRPr sz="1050"/>
            </a:pPr>
            <a:endParaRPr lang="en-US"/>
          </a:p>
        </c:txPr>
        <c:crossAx val="344283304"/>
        <c:crosses val="autoZero"/>
        <c:auto val="1"/>
        <c:lblAlgn val="ctr"/>
        <c:lblOffset val="100"/>
        <c:tickLblSkip val="1"/>
        <c:tickMarkSkip val="1"/>
        <c:noMultiLvlLbl val="0"/>
      </c:catAx>
      <c:valAx>
        <c:axId val="344283304"/>
        <c:scaling>
          <c:orientation val="minMax"/>
        </c:scaling>
        <c:delete val="0"/>
        <c:axPos val="l"/>
        <c:majorGridlines/>
        <c:title>
          <c:tx>
            <c:rich>
              <a:bodyPr/>
              <a:lstStyle/>
              <a:p>
                <a:pPr>
                  <a:defRPr/>
                </a:pPr>
                <a:r>
                  <a:rPr lang="en-US"/>
                  <a:t>$/bu.</a:t>
                </a:r>
              </a:p>
            </c:rich>
          </c:tx>
          <c:layout>
            <c:manualLayout>
              <c:xMode val="edge"/>
              <c:yMode val="edge"/>
              <c:x val="2.7851503976681624E-2"/>
              <c:y val="0.43691626169045283"/>
            </c:manualLayout>
          </c:layout>
          <c:overlay val="0"/>
        </c:title>
        <c:numFmt formatCode="&quot;$&quot;#,##0.000" sourceLinked="1"/>
        <c:majorTickMark val="out"/>
        <c:minorTickMark val="none"/>
        <c:tickLblPos val="nextTo"/>
        <c:txPr>
          <a:bodyPr rot="0" vert="horz"/>
          <a:lstStyle/>
          <a:p>
            <a:pPr>
              <a:defRPr/>
            </a:pPr>
            <a:endParaRPr lang="en-US"/>
          </a:p>
        </c:txPr>
        <c:crossAx val="344282912"/>
        <c:crosses val="autoZero"/>
        <c:crossBetween val="between"/>
        <c:majorUnit val="0.2"/>
      </c:valAx>
    </c:plotArea>
    <c:legend>
      <c:legendPos val="b"/>
      <c:overlay val="0"/>
    </c:legend>
    <c:plotVisOnly val="1"/>
    <c:dispBlanksAs val="gap"/>
    <c:showDLblsOverMax val="0"/>
  </c:chart>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323850</xdr:colOff>
      <xdr:row>55</xdr:row>
      <xdr:rowOff>61256</xdr:rowOff>
    </xdr:from>
    <xdr:to>
      <xdr:col>10</xdr:col>
      <xdr:colOff>872428</xdr:colOff>
      <xdr:row>59</xdr:row>
      <xdr:rowOff>120650</xdr:rowOff>
    </xdr:to>
    <xdr:pic>
      <xdr:nvPicPr>
        <xdr:cNvPr id="4" name="Picture 3" descr="https://www.ag.ndsu.edu/agcomm/images/ndsu-extension-logo-files/ndsu-extension-black.jpg">
          <a:extLst>
            <a:ext uri="{FF2B5EF4-FFF2-40B4-BE49-F238E27FC236}">
              <a16:creationId xmlns:a16="http://schemas.microsoft.com/office/drawing/2014/main" id="{A890FD25-5774-46F3-BB7C-F6C50C112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1050" y="8881406"/>
          <a:ext cx="2586928" cy="707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9525</xdr:rowOff>
    </xdr:from>
    <xdr:to>
      <xdr:col>8</xdr:col>
      <xdr:colOff>19050</xdr:colOff>
      <xdr:row>21</xdr:row>
      <xdr:rowOff>116205</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19051</xdr:colOff>
      <xdr:row>0</xdr:row>
      <xdr:rowOff>152399</xdr:rowOff>
    </xdr:from>
    <xdr:to>
      <xdr:col>17</xdr:col>
      <xdr:colOff>19051</xdr:colOff>
      <xdr:row>21</xdr:row>
      <xdr:rowOff>133349</xdr:rowOff>
    </xdr:to>
    <xdr:graphicFrame macro="">
      <xdr:nvGraphicFramePr>
        <xdr:cNvPr id="5" name="Chart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9525</xdr:colOff>
      <xdr:row>1</xdr:row>
      <xdr:rowOff>9525</xdr:rowOff>
    </xdr:from>
    <xdr:to>
      <xdr:col>26</xdr:col>
      <xdr:colOff>28575</xdr:colOff>
      <xdr:row>21</xdr:row>
      <xdr:rowOff>152400</xdr:rowOff>
    </xdr:to>
    <xdr:graphicFrame macro="">
      <xdr:nvGraphicFramePr>
        <xdr:cNvPr id="4" name="Chart 1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66"/>
  <sheetViews>
    <sheetView showGridLines="0" tabSelected="1" topLeftCell="A6" zoomScaleNormal="100" zoomScaleSheetLayoutView="100" workbookViewId="0">
      <selection activeCell="H3" sqref="H3"/>
    </sheetView>
  </sheetViews>
  <sheetFormatPr defaultColWidth="9.140625" defaultRowHeight="12.75" x14ac:dyDescent="0.2"/>
  <cols>
    <col min="1" max="1" width="1.7109375" style="82" customWidth="1"/>
    <col min="2" max="2" width="3.28515625" customWidth="1"/>
    <col min="3" max="3" width="50.7109375" style="2" customWidth="1"/>
    <col min="4" max="4" width="12.7109375" style="2" customWidth="1"/>
    <col min="5" max="5" width="12.5703125" style="2" customWidth="1"/>
    <col min="6" max="6" width="3.7109375" style="2" customWidth="1"/>
    <col min="7" max="8" width="12.7109375" style="2" customWidth="1"/>
    <col min="9" max="9" width="3.7109375" style="2" customWidth="1"/>
    <col min="10" max="11" width="12.7109375" style="2" customWidth="1"/>
    <col min="12" max="15" width="10.7109375" style="2" customWidth="1"/>
    <col min="16" max="16" width="9.140625" style="2"/>
    <col min="17" max="17" width="10" style="2" bestFit="1" customWidth="1"/>
    <col min="18" max="16384" width="9.140625" style="2"/>
  </cols>
  <sheetData>
    <row r="1" spans="1:12" s="87" customFormat="1" ht="18.75" thickBot="1" x14ac:dyDescent="0.3">
      <c r="C1" s="87" t="s">
        <v>53</v>
      </c>
    </row>
    <row r="2" spans="1:12" s="91" customFormat="1" ht="18.75" thickTop="1" x14ac:dyDescent="0.25">
      <c r="A2" s="79"/>
      <c r="C2" s="1" t="s">
        <v>67</v>
      </c>
    </row>
    <row r="3" spans="1:12" x14ac:dyDescent="0.2">
      <c r="A3" s="79"/>
      <c r="B3" s="2"/>
      <c r="C3" s="161" t="s">
        <v>68</v>
      </c>
      <c r="D3" s="161"/>
      <c r="E3" s="161"/>
    </row>
    <row r="4" spans="1:12" ht="12.75" customHeight="1" x14ac:dyDescent="0.2">
      <c r="A4" s="79"/>
      <c r="B4" s="2"/>
      <c r="C4" s="162" t="s">
        <v>62</v>
      </c>
      <c r="D4" s="163"/>
      <c r="E4" s="163"/>
      <c r="F4" s="163"/>
      <c r="G4" s="163"/>
      <c r="H4" s="163"/>
      <c r="I4" s="20"/>
      <c r="J4" s="20"/>
      <c r="K4" s="20"/>
      <c r="L4" s="20"/>
    </row>
    <row r="5" spans="1:12" x14ac:dyDescent="0.2">
      <c r="A5" s="80"/>
      <c r="C5" s="163"/>
      <c r="D5" s="163"/>
      <c r="E5" s="163"/>
      <c r="F5" s="163"/>
      <c r="G5" s="163"/>
      <c r="H5" s="163"/>
      <c r="I5" s="20"/>
      <c r="J5" s="20"/>
      <c r="K5" s="20"/>
      <c r="L5" s="20"/>
    </row>
    <row r="6" spans="1:12" x14ac:dyDescent="0.2">
      <c r="A6" s="80"/>
      <c r="C6" s="16"/>
      <c r="D6" s="16"/>
      <c r="E6" s="16"/>
      <c r="F6" s="29"/>
      <c r="G6" s="16"/>
      <c r="H6" s="16"/>
      <c r="I6" s="16"/>
      <c r="J6" s="16"/>
      <c r="K6" s="20"/>
      <c r="L6" s="20"/>
    </row>
    <row r="7" spans="1:12" ht="12" customHeight="1" x14ac:dyDescent="0.2">
      <c r="A7" s="80"/>
      <c r="C7" s="23" t="s">
        <v>10</v>
      </c>
      <c r="D7" s="23"/>
      <c r="E7" s="23"/>
      <c r="F7" s="28"/>
      <c r="G7" s="23"/>
      <c r="H7" s="23"/>
      <c r="I7" s="23"/>
      <c r="J7" s="16"/>
    </row>
    <row r="8" spans="1:12" x14ac:dyDescent="0.2">
      <c r="A8" s="80"/>
      <c r="C8" s="93" t="s">
        <v>16</v>
      </c>
      <c r="D8" s="23"/>
      <c r="E8" s="23"/>
      <c r="F8" s="23"/>
      <c r="G8" s="23"/>
      <c r="H8"/>
      <c r="I8"/>
    </row>
    <row r="9" spans="1:12" ht="13.5" thickBot="1" x14ac:dyDescent="0.25">
      <c r="A9" s="80"/>
      <c r="C9" s="17"/>
    </row>
    <row r="10" spans="1:12" x14ac:dyDescent="0.2">
      <c r="A10" s="80"/>
      <c r="C10" s="4" t="s">
        <v>0</v>
      </c>
      <c r="D10" s="158" t="s">
        <v>4</v>
      </c>
      <c r="E10" s="159"/>
      <c r="F10" s="3"/>
      <c r="G10" s="158" t="s">
        <v>59</v>
      </c>
      <c r="H10" s="159"/>
      <c r="I10" s="3"/>
      <c r="J10" s="158" t="s">
        <v>54</v>
      </c>
      <c r="K10" s="159"/>
    </row>
    <row r="11" spans="1:12" x14ac:dyDescent="0.2">
      <c r="A11" s="80"/>
      <c r="C11" s="1" t="s">
        <v>14</v>
      </c>
      <c r="D11" s="113" t="s">
        <v>6</v>
      </c>
      <c r="E11" s="114" t="s">
        <v>5</v>
      </c>
      <c r="F11" s="3"/>
      <c r="G11" s="113" t="s">
        <v>6</v>
      </c>
      <c r="H11" s="114" t="s">
        <v>5</v>
      </c>
      <c r="I11" s="3"/>
      <c r="J11" s="113" t="s">
        <v>6</v>
      </c>
      <c r="K11" s="114" t="s">
        <v>5</v>
      </c>
    </row>
    <row r="12" spans="1:12" ht="3" customHeight="1" x14ac:dyDescent="0.2">
      <c r="A12" s="80"/>
      <c r="C12" s="1"/>
      <c r="D12" s="54"/>
      <c r="E12" s="53"/>
      <c r="F12" s="3"/>
      <c r="G12" s="54"/>
      <c r="H12" s="53"/>
      <c r="I12" s="3"/>
      <c r="J12" s="54"/>
      <c r="K12" s="53"/>
    </row>
    <row r="13" spans="1:12" x14ac:dyDescent="0.2">
      <c r="A13" s="80"/>
      <c r="C13" s="2" t="s">
        <v>29</v>
      </c>
      <c r="D13" s="92">
        <v>30000</v>
      </c>
      <c r="E13" s="57">
        <f>D13</f>
        <v>30000</v>
      </c>
      <c r="F13" s="34"/>
      <c r="G13" s="92">
        <v>20000</v>
      </c>
      <c r="H13" s="57">
        <f>G13</f>
        <v>20000</v>
      </c>
      <c r="I13" s="3"/>
      <c r="J13" s="92">
        <v>20000</v>
      </c>
      <c r="K13" s="57">
        <f>J13</f>
        <v>20000</v>
      </c>
    </row>
    <row r="14" spans="1:12" x14ac:dyDescent="0.2">
      <c r="A14" s="80"/>
      <c r="C14" s="22" t="s">
        <v>30</v>
      </c>
      <c r="D14" s="94">
        <v>5.04</v>
      </c>
      <c r="E14" s="58">
        <f>D14</f>
        <v>5.04</v>
      </c>
      <c r="F14" s="5"/>
      <c r="G14" s="94">
        <v>12.88</v>
      </c>
      <c r="H14" s="58">
        <f>G14</f>
        <v>12.88</v>
      </c>
      <c r="I14" s="5"/>
      <c r="J14" s="94">
        <v>7.86</v>
      </c>
      <c r="K14" s="58">
        <f>J14</f>
        <v>7.86</v>
      </c>
    </row>
    <row r="15" spans="1:12" x14ac:dyDescent="0.2">
      <c r="A15" s="80"/>
      <c r="C15" s="22" t="s">
        <v>18</v>
      </c>
      <c r="D15" s="95">
        <v>0.08</v>
      </c>
      <c r="E15" s="59">
        <f>D15</f>
        <v>0.08</v>
      </c>
      <c r="F15" s="33"/>
      <c r="G15" s="83">
        <f>D15</f>
        <v>0.08</v>
      </c>
      <c r="H15" s="61">
        <f>D15</f>
        <v>0.08</v>
      </c>
      <c r="I15" s="6"/>
      <c r="J15" s="83">
        <f>G15</f>
        <v>0.08</v>
      </c>
      <c r="K15" s="61">
        <f>G15</f>
        <v>0.08</v>
      </c>
    </row>
    <row r="16" spans="1:12" x14ac:dyDescent="0.2">
      <c r="A16" s="80"/>
      <c r="C16" s="22" t="s">
        <v>1</v>
      </c>
      <c r="D16" s="96">
        <v>6</v>
      </c>
      <c r="E16" s="60">
        <f>D16</f>
        <v>6</v>
      </c>
      <c r="F16" s="30"/>
      <c r="G16" s="96">
        <v>5</v>
      </c>
      <c r="H16" s="62">
        <f>G16</f>
        <v>5</v>
      </c>
      <c r="I16" s="7"/>
      <c r="J16" s="96">
        <v>5</v>
      </c>
      <c r="K16" s="62">
        <f>J16</f>
        <v>5</v>
      </c>
    </row>
    <row r="17" spans="1:11" x14ac:dyDescent="0.2">
      <c r="A17" s="80"/>
      <c r="C17" s="2" t="s">
        <v>9</v>
      </c>
      <c r="D17" s="38"/>
      <c r="E17" s="39"/>
      <c r="F17" s="8"/>
      <c r="G17" s="38"/>
      <c r="H17" s="39"/>
      <c r="I17" s="8"/>
      <c r="J17" s="38"/>
      <c r="K17" s="39"/>
    </row>
    <row r="18" spans="1:11" x14ac:dyDescent="0.2">
      <c r="A18" s="80"/>
      <c r="C18" s="21" t="s">
        <v>19</v>
      </c>
      <c r="D18" s="38"/>
      <c r="E18" s="97">
        <v>0</v>
      </c>
      <c r="F18" s="9"/>
      <c r="G18" s="38"/>
      <c r="H18" s="97">
        <v>0</v>
      </c>
      <c r="I18" s="9"/>
      <c r="J18" s="38"/>
      <c r="K18" s="97">
        <v>0</v>
      </c>
    </row>
    <row r="19" spans="1:11" x14ac:dyDescent="0.2">
      <c r="A19" s="80"/>
      <c r="C19" s="21" t="s">
        <v>2</v>
      </c>
      <c r="D19" s="38"/>
      <c r="E19" s="98">
        <v>1</v>
      </c>
      <c r="F19" s="7"/>
      <c r="G19" s="38"/>
      <c r="H19" s="98">
        <v>0</v>
      </c>
      <c r="I19" s="7"/>
      <c r="J19" s="38"/>
      <c r="K19" s="98">
        <v>1</v>
      </c>
    </row>
    <row r="20" spans="1:11" x14ac:dyDescent="0.2">
      <c r="A20" s="80"/>
      <c r="C20" s="21" t="s">
        <v>20</v>
      </c>
      <c r="D20" s="38"/>
      <c r="E20" s="99">
        <v>0.05</v>
      </c>
      <c r="F20" s="10"/>
      <c r="G20" s="38"/>
      <c r="H20" s="99">
        <v>7.0000000000000007E-2</v>
      </c>
      <c r="I20" s="10"/>
      <c r="J20" s="38"/>
      <c r="K20" s="99">
        <v>0.05</v>
      </c>
    </row>
    <row r="21" spans="1:11" x14ac:dyDescent="0.2">
      <c r="A21" s="80"/>
      <c r="C21" s="2" t="s">
        <v>22</v>
      </c>
      <c r="D21" s="40"/>
      <c r="E21" s="41"/>
      <c r="F21" s="31"/>
      <c r="G21" s="51"/>
      <c r="H21" s="41"/>
      <c r="I21" s="7"/>
      <c r="J21" s="51"/>
      <c r="K21" s="41"/>
    </row>
    <row r="22" spans="1:11" x14ac:dyDescent="0.2">
      <c r="A22" s="81"/>
      <c r="B22" s="24"/>
      <c r="C22" s="89" t="s">
        <v>61</v>
      </c>
      <c r="D22" s="100"/>
      <c r="E22" s="42"/>
      <c r="F22" s="32"/>
      <c r="G22" s="100"/>
      <c r="H22" s="42"/>
      <c r="I22" s="8"/>
      <c r="J22" s="100"/>
      <c r="K22" s="42"/>
    </row>
    <row r="23" spans="1:11" x14ac:dyDescent="0.2">
      <c r="A23" s="81"/>
      <c r="B23" s="24"/>
      <c r="C23" s="21" t="s">
        <v>21</v>
      </c>
      <c r="D23" s="100"/>
      <c r="E23" s="42"/>
      <c r="F23" s="32"/>
      <c r="G23" s="100"/>
      <c r="H23" s="42"/>
      <c r="I23" s="11"/>
      <c r="J23" s="100"/>
      <c r="K23" s="42"/>
    </row>
    <row r="24" spans="1:11" x14ac:dyDescent="0.2">
      <c r="A24" s="81"/>
      <c r="B24" s="24"/>
      <c r="C24" s="86" t="s">
        <v>56</v>
      </c>
      <c r="D24" s="101">
        <v>0.14000000000000001</v>
      </c>
      <c r="E24" s="110">
        <v>0.15</v>
      </c>
      <c r="F24" s="32"/>
      <c r="G24" s="101">
        <v>0.11</v>
      </c>
      <c r="H24" s="110">
        <v>0.13</v>
      </c>
      <c r="I24" s="11"/>
      <c r="J24" s="101">
        <v>0.13500000000000001</v>
      </c>
      <c r="K24" s="110">
        <v>0.14000000000000001</v>
      </c>
    </row>
    <row r="25" spans="1:11" x14ac:dyDescent="0.2">
      <c r="A25" s="79"/>
      <c r="B25" s="2"/>
      <c r="C25" s="86" t="s">
        <v>57</v>
      </c>
      <c r="D25" s="101">
        <v>0.14000000000000001</v>
      </c>
      <c r="E25" s="111">
        <v>0.14000000000000001</v>
      </c>
      <c r="F25" s="7"/>
      <c r="G25" s="101">
        <v>0.11</v>
      </c>
      <c r="H25" s="111">
        <v>0.13</v>
      </c>
      <c r="I25" s="12"/>
      <c r="J25" s="101">
        <v>0.13</v>
      </c>
      <c r="K25" s="111">
        <v>0.13</v>
      </c>
    </row>
    <row r="26" spans="1:11" x14ac:dyDescent="0.2">
      <c r="A26" s="80"/>
      <c r="C26" s="22" t="s">
        <v>36</v>
      </c>
      <c r="D26" s="102">
        <v>0.03</v>
      </c>
      <c r="E26" s="99">
        <v>0.05</v>
      </c>
      <c r="F26" s="10"/>
      <c r="G26" s="102">
        <v>0.05</v>
      </c>
      <c r="H26" s="99">
        <v>0</v>
      </c>
      <c r="I26" s="6"/>
      <c r="J26" s="102">
        <v>0.04</v>
      </c>
      <c r="K26" s="99">
        <v>0.05</v>
      </c>
    </row>
    <row r="27" spans="1:11" x14ac:dyDescent="0.2">
      <c r="A27" s="80"/>
      <c r="C27" s="22" t="s">
        <v>37</v>
      </c>
      <c r="D27" s="103">
        <v>1.1599999999999999E-2</v>
      </c>
      <c r="E27" s="112">
        <v>1.4999999999999999E-2</v>
      </c>
      <c r="F27" s="11"/>
      <c r="G27" s="103">
        <v>1.12E-2</v>
      </c>
      <c r="H27" s="112">
        <v>2.5000000000000001E-2</v>
      </c>
      <c r="I27" s="11"/>
      <c r="J27" s="103">
        <v>1.1599999999999999E-2</v>
      </c>
      <c r="K27" s="112">
        <v>2.2499999999999999E-2</v>
      </c>
    </row>
    <row r="28" spans="1:11" x14ac:dyDescent="0.2">
      <c r="A28" s="80"/>
      <c r="C28" s="22" t="s">
        <v>23</v>
      </c>
      <c r="D28" s="102">
        <v>1.4999999999999999E-2</v>
      </c>
      <c r="E28" s="43"/>
      <c r="F28" s="10"/>
      <c r="G28" s="102">
        <v>1.4999999999999999E-2</v>
      </c>
      <c r="H28" s="43"/>
      <c r="J28" s="102">
        <v>1.4999999999999999E-2</v>
      </c>
      <c r="K28" s="43"/>
    </row>
    <row r="29" spans="1:11" x14ac:dyDescent="0.2">
      <c r="A29" s="80"/>
      <c r="C29" s="86" t="s">
        <v>60</v>
      </c>
      <c r="D29" s="102">
        <v>0.03</v>
      </c>
      <c r="E29" s="43"/>
      <c r="F29" s="10"/>
      <c r="G29" s="102">
        <v>0.03</v>
      </c>
      <c r="H29" s="43"/>
      <c r="J29" s="102">
        <v>0.03</v>
      </c>
      <c r="K29" s="43"/>
    </row>
    <row r="30" spans="1:11" x14ac:dyDescent="0.2">
      <c r="A30" s="80"/>
      <c r="C30" s="22" t="s">
        <v>24</v>
      </c>
      <c r="D30" s="95">
        <v>5.0000000000000001E-3</v>
      </c>
      <c r="E30" s="44"/>
      <c r="F30" s="6"/>
      <c r="G30" s="95">
        <v>5.0000000000000001E-3</v>
      </c>
      <c r="H30" s="44"/>
      <c r="J30" s="95">
        <v>5.0000000000000001E-3</v>
      </c>
      <c r="K30" s="44"/>
    </row>
    <row r="31" spans="1:11" x14ac:dyDescent="0.2">
      <c r="A31" s="80"/>
      <c r="C31" s="22" t="s">
        <v>25</v>
      </c>
      <c r="D31" s="104">
        <v>5</v>
      </c>
      <c r="E31" s="44"/>
      <c r="F31" s="6"/>
      <c r="G31" s="104">
        <v>3</v>
      </c>
      <c r="H31" s="44"/>
      <c r="J31" s="104">
        <v>3</v>
      </c>
      <c r="K31" s="44"/>
    </row>
    <row r="32" spans="1:11" x14ac:dyDescent="0.2">
      <c r="A32" s="80"/>
      <c r="C32" s="22" t="s">
        <v>26</v>
      </c>
      <c r="D32" s="105">
        <v>450</v>
      </c>
      <c r="E32" s="45"/>
      <c r="F32" s="37"/>
      <c r="G32" s="105">
        <v>450</v>
      </c>
      <c r="H32" s="44"/>
      <c r="J32" s="105">
        <v>600</v>
      </c>
      <c r="K32" s="44"/>
    </row>
    <row r="33" spans="1:11" x14ac:dyDescent="0.2">
      <c r="A33" s="80"/>
      <c r="C33" s="22" t="s">
        <v>27</v>
      </c>
      <c r="D33" s="106">
        <v>0.11550000000000001</v>
      </c>
      <c r="E33" s="44"/>
      <c r="F33" s="6"/>
      <c r="G33" s="55">
        <f>D33</f>
        <v>0.11550000000000001</v>
      </c>
      <c r="H33" s="44"/>
      <c r="J33" s="55">
        <f>G33</f>
        <v>0.11550000000000001</v>
      </c>
      <c r="K33" s="44"/>
    </row>
    <row r="34" spans="1:11" x14ac:dyDescent="0.2">
      <c r="A34" s="80"/>
      <c r="C34" s="22" t="s">
        <v>39</v>
      </c>
      <c r="D34" s="107">
        <v>2</v>
      </c>
      <c r="E34" s="46"/>
      <c r="F34" s="35"/>
      <c r="G34" s="107">
        <v>2</v>
      </c>
      <c r="H34" s="44"/>
      <c r="J34" s="107">
        <v>2</v>
      </c>
      <c r="K34" s="44"/>
    </row>
    <row r="35" spans="1:11" x14ac:dyDescent="0.2">
      <c r="A35" s="80"/>
      <c r="C35" s="22" t="s">
        <v>28</v>
      </c>
      <c r="D35" s="108">
        <v>15</v>
      </c>
      <c r="E35" s="47"/>
      <c r="F35" s="9"/>
      <c r="G35" s="56">
        <f>D35</f>
        <v>15</v>
      </c>
      <c r="H35" s="47"/>
      <c r="I35" s="13"/>
      <c r="J35" s="56">
        <f>G35</f>
        <v>15</v>
      </c>
      <c r="K35" s="47"/>
    </row>
    <row r="36" spans="1:11" x14ac:dyDescent="0.2">
      <c r="A36" s="80"/>
      <c r="C36" s="22" t="s">
        <v>38</v>
      </c>
      <c r="D36" s="109">
        <v>0.35</v>
      </c>
      <c r="E36" s="48"/>
      <c r="G36" s="52">
        <f>D36</f>
        <v>0.35</v>
      </c>
      <c r="H36" s="48"/>
      <c r="I36" s="14"/>
      <c r="J36" s="52">
        <f>G36</f>
        <v>0.35</v>
      </c>
      <c r="K36" s="48"/>
    </row>
    <row r="37" spans="1:11" x14ac:dyDescent="0.2">
      <c r="A37" s="80"/>
      <c r="C37" s="22"/>
      <c r="D37" s="49"/>
      <c r="E37" s="48"/>
      <c r="G37" s="52"/>
      <c r="H37" s="48"/>
      <c r="I37" s="14"/>
      <c r="J37" s="52"/>
      <c r="K37" s="48"/>
    </row>
    <row r="38" spans="1:11" x14ac:dyDescent="0.2">
      <c r="A38" s="80"/>
      <c r="C38" s="36" t="s">
        <v>31</v>
      </c>
      <c r="D38" s="50"/>
      <c r="E38" s="48"/>
      <c r="G38" s="50"/>
      <c r="H38" s="48"/>
      <c r="I38" s="8"/>
      <c r="J38" s="50"/>
      <c r="K38" s="48"/>
    </row>
    <row r="39" spans="1:11" x14ac:dyDescent="0.2">
      <c r="A39" s="80"/>
      <c r="C39" s="2" t="s">
        <v>9</v>
      </c>
      <c r="D39" s="40"/>
      <c r="E39" s="63">
        <f>IF((E16-E19&lt;0),E18,E18+(E16-E19)*E20)</f>
        <v>0.25</v>
      </c>
      <c r="F39" s="13"/>
      <c r="G39" s="40"/>
      <c r="H39" s="63">
        <f>IF((H16-H19&lt;0),H18,H18+(H16-H19)*H20)</f>
        <v>0.35000000000000003</v>
      </c>
      <c r="I39" s="8"/>
      <c r="J39" s="40"/>
      <c r="K39" s="63">
        <f>IF((K16-K19&lt;0),K18,K18+(K16-K19)*K20)</f>
        <v>0.2</v>
      </c>
    </row>
    <row r="40" spans="1:11" x14ac:dyDescent="0.2">
      <c r="A40" s="80"/>
      <c r="C40" s="2" t="s">
        <v>8</v>
      </c>
      <c r="D40" s="64">
        <f>IF(D22,D22,D16*D23)</f>
        <v>0</v>
      </c>
      <c r="E40" s="65"/>
      <c r="F40" s="8"/>
      <c r="G40" s="64">
        <f>IF(G22,G22,G16*G23)</f>
        <v>0</v>
      </c>
      <c r="H40" s="65"/>
      <c r="I40" s="8"/>
      <c r="J40" s="64">
        <f>IF(J22,J22,J16*J23)</f>
        <v>0</v>
      </c>
      <c r="K40" s="65"/>
    </row>
    <row r="41" spans="1:11" x14ac:dyDescent="0.2">
      <c r="A41" s="80"/>
      <c r="C41" s="2" t="s">
        <v>11</v>
      </c>
      <c r="D41" s="66">
        <f>D14*D15*D16/12</f>
        <v>0.2016</v>
      </c>
      <c r="E41" s="67">
        <f>E14*E15*E16/12</f>
        <v>0.2016</v>
      </c>
      <c r="F41" s="14"/>
      <c r="G41" s="66">
        <f>G14*G15*G16/12</f>
        <v>0.42933333333333334</v>
      </c>
      <c r="H41" s="67">
        <f>H14*H15*H16/12</f>
        <v>0.42933333333333334</v>
      </c>
      <c r="I41" s="15"/>
      <c r="J41" s="66">
        <f>J14*J15*J16/12</f>
        <v>0.26200000000000001</v>
      </c>
      <c r="K41" s="67">
        <f>K14*K15*K16/12</f>
        <v>0.26200000000000001</v>
      </c>
    </row>
    <row r="42" spans="1:11" x14ac:dyDescent="0.2">
      <c r="A42" s="80"/>
      <c r="C42" s="24" t="s">
        <v>58</v>
      </c>
      <c r="D42" s="66">
        <f>MAX((D25-D24)*100*D26,0)+MAX((D25-D24)*100*D27*D14,0)</f>
        <v>0</v>
      </c>
      <c r="E42" s="67">
        <f>MAX((E25-E24)*100*E26,0)+MAX((E25-E24)*100*E27*E14,0)</f>
        <v>0</v>
      </c>
      <c r="F42" s="15"/>
      <c r="G42" s="66">
        <f>MAX((G25-G24)*100*G26,0)+MAX((G25-G24)*100*G27*G14,0)</f>
        <v>0</v>
      </c>
      <c r="H42" s="67">
        <f>MAX((H25-H24)*100*H26,0)+MAX((H25-H24)*100*H27*H14,0)</f>
        <v>0</v>
      </c>
      <c r="I42" s="14"/>
      <c r="J42" s="66">
        <f>MAX((J25-J24)*100*J26,0)+MAX((J25-J24)*100*J27*J14,0)</f>
        <v>0</v>
      </c>
      <c r="K42" s="67">
        <f>MAX((K25-K24)*100*K26,0)+MAX((K25-K24)*100*K27*K14,0)</f>
        <v>0</v>
      </c>
    </row>
    <row r="43" spans="1:11" x14ac:dyDescent="0.2">
      <c r="A43" s="80"/>
      <c r="C43" s="2" t="s">
        <v>52</v>
      </c>
      <c r="D43" s="66">
        <f>D28+D29</f>
        <v>4.4999999999999998E-2</v>
      </c>
      <c r="E43" s="68"/>
      <c r="F43" s="15"/>
      <c r="G43" s="66">
        <f>G28+G29</f>
        <v>4.4999999999999998E-2</v>
      </c>
      <c r="H43" s="68"/>
      <c r="I43" s="13"/>
      <c r="J43" s="66">
        <f>J28+J29</f>
        <v>4.4999999999999998E-2</v>
      </c>
      <c r="K43" s="68"/>
    </row>
    <row r="44" spans="1:11" x14ac:dyDescent="0.2">
      <c r="A44" s="80"/>
      <c r="C44" s="2" t="s">
        <v>3</v>
      </c>
      <c r="D44" s="66">
        <f>D14*D30</f>
        <v>2.52E-2</v>
      </c>
      <c r="E44" s="69"/>
      <c r="F44" s="14"/>
      <c r="G44" s="66">
        <f>G14*G30</f>
        <v>6.4399999999999999E-2</v>
      </c>
      <c r="H44" s="69"/>
      <c r="J44" s="66">
        <f>J14*J30</f>
        <v>3.9300000000000002E-2</v>
      </c>
      <c r="K44" s="69"/>
    </row>
    <row r="45" spans="1:11" x14ac:dyDescent="0.2">
      <c r="A45" s="80"/>
      <c r="C45" s="2" t="s">
        <v>32</v>
      </c>
      <c r="D45" s="88">
        <f>IF(D13&gt;1,0.8*D31*D32*D33/D13,0)</f>
        <v>6.9300000000000004E-3</v>
      </c>
      <c r="E45" s="69"/>
      <c r="F45" s="14"/>
      <c r="G45" s="66">
        <f>IF(G13&gt;1,0.8*G31*G32*G33/G13,0)</f>
        <v>6.2370000000000021E-3</v>
      </c>
      <c r="H45" s="69"/>
      <c r="J45" s="66">
        <f>IF(J13&gt;1,0.8*J31*J32*J33/J13,0)</f>
        <v>8.3160000000000005E-3</v>
      </c>
      <c r="K45" s="69"/>
    </row>
    <row r="46" spans="1:11" x14ac:dyDescent="0.2">
      <c r="A46" s="80"/>
      <c r="C46" s="2" t="s">
        <v>33</v>
      </c>
      <c r="D46" s="70">
        <f>IF(D13&gt;0,D34*D35*D16/D13,0)</f>
        <v>6.0000000000000001E-3</v>
      </c>
      <c r="E46" s="71"/>
      <c r="F46" s="72"/>
      <c r="G46" s="70">
        <f>IF(G13&gt;0,G34*G35*G16/G13,0)</f>
        <v>7.4999999999999997E-3</v>
      </c>
      <c r="H46" s="71"/>
      <c r="I46" s="13"/>
      <c r="J46" s="70">
        <f>IF(J13&gt;0,J34*J35*J16/J13,0)</f>
        <v>7.4999999999999997E-3</v>
      </c>
      <c r="K46" s="71"/>
    </row>
    <row r="47" spans="1:11" x14ac:dyDescent="0.2">
      <c r="A47" s="80"/>
      <c r="C47" s="2" t="s">
        <v>12</v>
      </c>
      <c r="D47" s="73">
        <f>SUM(D39:D46)</f>
        <v>0.28472999999999998</v>
      </c>
      <c r="E47" s="63">
        <f>SUM(E39:E46)</f>
        <v>0.4516</v>
      </c>
      <c r="F47" s="13"/>
      <c r="G47" s="73">
        <f>SUM(G39:G46)</f>
        <v>0.55247033333333329</v>
      </c>
      <c r="H47" s="63">
        <f>SUM(H39:H46)</f>
        <v>0.77933333333333343</v>
      </c>
      <c r="J47" s="73">
        <f>SUM(J39:J46)</f>
        <v>0.36211599999999999</v>
      </c>
      <c r="K47" s="63">
        <f>SUM(K39:K46)</f>
        <v>0.46200000000000002</v>
      </c>
    </row>
    <row r="48" spans="1:11" x14ac:dyDescent="0.2">
      <c r="A48" s="80"/>
      <c r="D48" s="73"/>
      <c r="E48" s="63"/>
      <c r="F48" s="13"/>
      <c r="G48" s="73"/>
      <c r="H48" s="63"/>
      <c r="J48" s="73"/>
      <c r="K48" s="63"/>
    </row>
    <row r="49" spans="1:12" x14ac:dyDescent="0.2">
      <c r="A49" s="80"/>
      <c r="C49" s="1" t="s">
        <v>55</v>
      </c>
      <c r="D49" s="84">
        <f>D47/D16</f>
        <v>4.7454999999999997E-2</v>
      </c>
      <c r="E49" s="85">
        <f>E47/E16</f>
        <v>7.5266666666666662E-2</v>
      </c>
      <c r="F49" s="13"/>
      <c r="G49" s="84">
        <f>G47/G16</f>
        <v>0.11049406666666665</v>
      </c>
      <c r="H49" s="85">
        <f>H47/H16</f>
        <v>0.15586666666666668</v>
      </c>
      <c r="J49" s="84">
        <f>J47/J16</f>
        <v>7.2423199999999993E-2</v>
      </c>
      <c r="K49" s="85">
        <f>K47/K16</f>
        <v>9.240000000000001E-2</v>
      </c>
    </row>
    <row r="50" spans="1:12" x14ac:dyDescent="0.2">
      <c r="A50" s="80"/>
      <c r="D50" s="74"/>
      <c r="E50" s="75"/>
      <c r="F50" s="13"/>
      <c r="G50" s="74"/>
      <c r="H50" s="75"/>
      <c r="J50" s="74"/>
      <c r="K50" s="75"/>
    </row>
    <row r="51" spans="1:12" x14ac:dyDescent="0.2">
      <c r="A51" s="80"/>
      <c r="C51" s="2" t="s">
        <v>34</v>
      </c>
      <c r="D51" s="66">
        <f>IF(D16&gt;3,D14*D15*$D36,0)</f>
        <v>0.14112</v>
      </c>
      <c r="E51" s="67">
        <f>IF(E16&gt;3,E14*E15*$D36,0)</f>
        <v>0.14112</v>
      </c>
      <c r="G51" s="66">
        <f>IF(G16&gt;3,G14*G15*$D36,0)</f>
        <v>0.36063999999999996</v>
      </c>
      <c r="H51" s="67">
        <f>IF(H16&gt;3,H14*H15*$D36,0)</f>
        <v>0.36063999999999996</v>
      </c>
      <c r="J51" s="66">
        <f>IF(J16&gt;3,J14*J15*$D36,0)</f>
        <v>0.22008</v>
      </c>
      <c r="K51" s="67">
        <f>IF(K16&gt;3,K14*K15*$D36,0)</f>
        <v>0.22008</v>
      </c>
    </row>
    <row r="52" spans="1:12" x14ac:dyDescent="0.2">
      <c r="A52" s="80"/>
      <c r="C52" s="2" t="s">
        <v>35</v>
      </c>
      <c r="D52" s="73">
        <f>D47-D51</f>
        <v>0.14360999999999999</v>
      </c>
      <c r="E52" s="63">
        <f>E47-E51</f>
        <v>0.31047999999999998</v>
      </c>
      <c r="F52" s="13"/>
      <c r="G52" s="73">
        <f>G47-G51</f>
        <v>0.19183033333333332</v>
      </c>
      <c r="H52" s="63">
        <f>H47-H51</f>
        <v>0.41869333333333347</v>
      </c>
      <c r="J52" s="73">
        <f>J47-J51</f>
        <v>0.142036</v>
      </c>
      <c r="K52" s="63">
        <f>K47-K51</f>
        <v>0.24192000000000002</v>
      </c>
    </row>
    <row r="53" spans="1:12" x14ac:dyDescent="0.2">
      <c r="A53" s="80"/>
      <c r="D53" s="50"/>
      <c r="E53" s="48"/>
      <c r="G53" s="50"/>
      <c r="H53" s="48"/>
      <c r="J53" s="50"/>
      <c r="K53" s="48"/>
    </row>
    <row r="54" spans="1:12" ht="13.5" thickBot="1" x14ac:dyDescent="0.25">
      <c r="A54" s="80"/>
      <c r="C54" s="2" t="s">
        <v>13</v>
      </c>
      <c r="D54" s="76">
        <f>D14+D47</f>
        <v>5.3247299999999997</v>
      </c>
      <c r="E54" s="77">
        <f>E14+E47</f>
        <v>5.4916</v>
      </c>
      <c r="F54" s="78"/>
      <c r="G54" s="76">
        <f>G14+G47</f>
        <v>13.432470333333335</v>
      </c>
      <c r="H54" s="77">
        <f>H14+H47</f>
        <v>13.659333333333334</v>
      </c>
      <c r="J54" s="76">
        <f>J14+J47</f>
        <v>8.2221159999999998</v>
      </c>
      <c r="K54" s="77">
        <f>K14+K47</f>
        <v>8.322000000000001</v>
      </c>
    </row>
    <row r="55" spans="1:12" x14ac:dyDescent="0.2">
      <c r="A55" s="80"/>
    </row>
    <row r="56" spans="1:12" x14ac:dyDescent="0.2">
      <c r="A56" s="80"/>
      <c r="C56" s="86" t="s">
        <v>63</v>
      </c>
      <c r="D56" s="1"/>
      <c r="E56" s="1"/>
      <c r="F56" s="1"/>
    </row>
    <row r="57" spans="1:12" x14ac:dyDescent="0.2">
      <c r="A57" s="80"/>
      <c r="C57" s="24" t="s">
        <v>65</v>
      </c>
    </row>
    <row r="58" spans="1:12" x14ac:dyDescent="0.2">
      <c r="A58" s="80"/>
      <c r="C58" s="1" t="s">
        <v>64</v>
      </c>
      <c r="I58"/>
    </row>
    <row r="59" spans="1:12" x14ac:dyDescent="0.2">
      <c r="A59" s="80"/>
      <c r="C59" s="25" t="s">
        <v>17</v>
      </c>
    </row>
    <row r="60" spans="1:12" x14ac:dyDescent="0.2">
      <c r="A60" s="80"/>
      <c r="C60" s="27">
        <f ca="1">TODAY()</f>
        <v>45002</v>
      </c>
      <c r="D60" s="26"/>
    </row>
    <row r="61" spans="1:12" customFormat="1" ht="12.75" customHeight="1" x14ac:dyDescent="0.2">
      <c r="A61" s="80"/>
      <c r="C61" s="160" t="s">
        <v>74</v>
      </c>
      <c r="D61" s="160"/>
      <c r="E61" s="160"/>
      <c r="F61" s="160"/>
      <c r="G61" s="160"/>
      <c r="H61" s="160"/>
      <c r="I61" s="18"/>
      <c r="J61" s="18"/>
      <c r="K61" s="18"/>
      <c r="L61" s="18"/>
    </row>
    <row r="62" spans="1:12" customFormat="1" ht="10.5" customHeight="1" x14ac:dyDescent="0.2">
      <c r="A62" s="80"/>
      <c r="C62" s="160"/>
      <c r="D62" s="160"/>
      <c r="E62" s="160"/>
      <c r="F62" s="160"/>
      <c r="G62" s="160"/>
      <c r="H62" s="160"/>
      <c r="I62" s="150"/>
      <c r="J62" s="150"/>
      <c r="K62" s="19"/>
      <c r="L62" s="19"/>
    </row>
    <row r="63" spans="1:12" customFormat="1" ht="17.45" customHeight="1" x14ac:dyDescent="0.2">
      <c r="A63" s="80"/>
      <c r="C63" s="160"/>
      <c r="D63" s="160"/>
      <c r="E63" s="160"/>
      <c r="F63" s="160"/>
      <c r="G63" s="160"/>
      <c r="H63" s="160"/>
      <c r="I63" s="150"/>
      <c r="J63" s="150"/>
      <c r="L63" s="19"/>
    </row>
    <row r="64" spans="1:12" customFormat="1" ht="19.899999999999999" customHeight="1" x14ac:dyDescent="0.2">
      <c r="A64" s="80"/>
      <c r="C64" s="160"/>
      <c r="D64" s="160"/>
      <c r="E64" s="160"/>
      <c r="F64" s="160"/>
      <c r="G64" s="160"/>
      <c r="H64" s="160"/>
      <c r="I64" s="150"/>
      <c r="J64" s="150"/>
      <c r="K64" s="19"/>
      <c r="L64" s="19"/>
    </row>
    <row r="65" spans="1:12" customFormat="1" x14ac:dyDescent="0.2">
      <c r="A65" s="80"/>
      <c r="C65" s="19"/>
      <c r="D65" s="19"/>
      <c r="E65" s="19"/>
      <c r="F65" s="19"/>
      <c r="G65" s="19"/>
      <c r="H65" s="19"/>
      <c r="I65" s="19"/>
      <c r="J65" s="19"/>
      <c r="K65" s="19"/>
      <c r="L65" s="19"/>
    </row>
    <row r="66" spans="1:12" x14ac:dyDescent="0.2">
      <c r="A66" s="80"/>
      <c r="C66" s="19"/>
      <c r="D66" s="19"/>
      <c r="E66" s="19"/>
      <c r="F66" s="19"/>
      <c r="G66" s="19"/>
      <c r="H66" s="19"/>
    </row>
  </sheetData>
  <sheetProtection sheet="1" objects="1" scenarios="1"/>
  <mergeCells count="6">
    <mergeCell ref="J10:K10"/>
    <mergeCell ref="C61:H64"/>
    <mergeCell ref="C3:E3"/>
    <mergeCell ref="C4:H5"/>
    <mergeCell ref="D10:E10"/>
    <mergeCell ref="G10:H10"/>
  </mergeCells>
  <phoneticPr fontId="7" type="noConversion"/>
  <pageMargins left="0.75" right="0.75" top="0.75" bottom="0.75" header="0.5" footer="0.5"/>
  <pageSetup scale="91" orientation="landscape" horizontalDpi="300" verticalDpi="300" r:id="rId1"/>
  <headerFooter alignWithMargins="0"/>
  <colBreaks count="1" manualBreakCount="1">
    <brk id="8" max="7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workbookViewId="0">
      <selection activeCell="O21" sqref="O21"/>
    </sheetView>
  </sheetViews>
  <sheetFormatPr defaultRowHeight="12.75" x14ac:dyDescent="0.2"/>
  <cols>
    <col min="1" max="1" width="2.7109375" customWidth="1"/>
    <col min="2" max="2" width="16.28515625" bestFit="1" customWidth="1"/>
    <col min="3" max="3" width="11.7109375" bestFit="1" customWidth="1"/>
    <col min="4" max="4" width="12.42578125" bestFit="1" customWidth="1"/>
    <col min="5" max="5" width="11.140625" bestFit="1" customWidth="1"/>
    <col min="6" max="6" width="2.7109375" customWidth="1"/>
    <col min="7" max="7" width="11.7109375" bestFit="1" customWidth="1"/>
    <col min="8" max="8" width="12.42578125" bestFit="1" customWidth="1"/>
    <col min="9" max="9" width="11.140625" bestFit="1" customWidth="1"/>
    <col min="10" max="10" width="2.7109375" customWidth="1"/>
    <col min="11" max="11" width="11.7109375" bestFit="1" customWidth="1"/>
    <col min="12" max="12" width="13.5703125" bestFit="1" customWidth="1"/>
    <col min="13" max="13" width="11.140625" bestFit="1" customWidth="1"/>
    <col min="15" max="29" width="10.7109375" customWidth="1"/>
  </cols>
  <sheetData>
    <row r="1" spans="1:29" ht="5.0999999999999996" customHeight="1" thickBot="1" x14ac:dyDescent="0.25"/>
    <row r="2" spans="1:29" x14ac:dyDescent="0.2">
      <c r="B2" s="115"/>
      <c r="C2" s="172" t="s">
        <v>7</v>
      </c>
      <c r="D2" s="172"/>
      <c r="E2" s="172"/>
      <c r="F2" s="172"/>
      <c r="G2" s="172"/>
      <c r="H2" s="172"/>
      <c r="I2" s="172"/>
      <c r="J2" s="172"/>
      <c r="K2" s="172"/>
      <c r="L2" s="172"/>
      <c r="M2" s="173"/>
      <c r="N2" s="2"/>
      <c r="O2" s="166" t="str">
        <f>Example!D10</f>
        <v>Corn</v>
      </c>
      <c r="P2" s="167"/>
      <c r="Q2" s="167"/>
      <c r="R2" s="167"/>
      <c r="S2" s="168"/>
      <c r="T2" s="166" t="str">
        <f>Example!G10</f>
        <v>Soybean</v>
      </c>
      <c r="U2" s="167"/>
      <c r="V2" s="167"/>
      <c r="W2" s="167"/>
      <c r="X2" s="168"/>
      <c r="Y2" s="166" t="str">
        <f>Example!J10</f>
        <v>Spring Wheat</v>
      </c>
      <c r="Z2" s="167"/>
      <c r="AA2" s="167"/>
      <c r="AB2" s="167"/>
      <c r="AC2" s="168"/>
    </row>
    <row r="3" spans="1:29" x14ac:dyDescent="0.2">
      <c r="B3" s="116"/>
      <c r="D3" s="1" t="str">
        <f>Example!D10</f>
        <v>Corn</v>
      </c>
      <c r="E3" s="1"/>
      <c r="F3" s="3"/>
      <c r="G3" s="3"/>
      <c r="H3" s="1" t="str">
        <f>Example!G10</f>
        <v>Soybean</v>
      </c>
      <c r="I3" s="1"/>
      <c r="J3" s="2"/>
      <c r="K3" s="2"/>
      <c r="L3" s="1" t="str">
        <f>Example!J10</f>
        <v>Spring Wheat</v>
      </c>
      <c r="M3" s="117"/>
      <c r="N3" s="2"/>
      <c r="O3" s="169" t="s">
        <v>15</v>
      </c>
      <c r="P3" s="170" t="s">
        <v>69</v>
      </c>
      <c r="Q3" s="170" t="s">
        <v>70</v>
      </c>
      <c r="R3" s="170" t="s">
        <v>72</v>
      </c>
      <c r="S3" s="171" t="s">
        <v>71</v>
      </c>
      <c r="T3" s="169" t="s">
        <v>15</v>
      </c>
      <c r="U3" s="170" t="s">
        <v>69</v>
      </c>
      <c r="V3" s="170" t="s">
        <v>70</v>
      </c>
      <c r="W3" s="170" t="s">
        <v>72</v>
      </c>
      <c r="X3" s="171" t="s">
        <v>71</v>
      </c>
      <c r="Y3" s="169" t="s">
        <v>15</v>
      </c>
      <c r="Z3" s="170" t="s">
        <v>69</v>
      </c>
      <c r="AA3" s="170" t="s">
        <v>70</v>
      </c>
      <c r="AB3" s="170" t="s">
        <v>72</v>
      </c>
      <c r="AC3" s="171" t="s">
        <v>71</v>
      </c>
    </row>
    <row r="4" spans="1:29" ht="12.75" customHeight="1" x14ac:dyDescent="0.2">
      <c r="B4" s="118" t="s">
        <v>66</v>
      </c>
      <c r="D4" s="119" t="s">
        <v>51</v>
      </c>
      <c r="E4" s="24"/>
      <c r="F4" s="3"/>
      <c r="G4" s="3"/>
      <c r="H4" s="148" t="s">
        <v>51</v>
      </c>
      <c r="I4" s="24"/>
      <c r="J4" s="2"/>
      <c r="K4" s="2"/>
      <c r="L4" s="148" t="s">
        <v>50</v>
      </c>
      <c r="M4" s="120"/>
      <c r="N4" s="2"/>
      <c r="O4" s="169"/>
      <c r="P4" s="170"/>
      <c r="Q4" s="170"/>
      <c r="R4" s="170"/>
      <c r="S4" s="171"/>
      <c r="T4" s="169"/>
      <c r="U4" s="170"/>
      <c r="V4" s="170"/>
      <c r="W4" s="170"/>
      <c r="X4" s="171"/>
      <c r="Y4" s="169"/>
      <c r="Z4" s="170"/>
      <c r="AA4" s="170"/>
      <c r="AB4" s="170"/>
      <c r="AC4" s="171"/>
    </row>
    <row r="5" spans="1:29" x14ac:dyDescent="0.2">
      <c r="B5" s="116"/>
      <c r="C5" s="121" t="s">
        <v>15</v>
      </c>
      <c r="D5" s="122" t="s">
        <v>6</v>
      </c>
      <c r="E5" s="122" t="s">
        <v>5</v>
      </c>
      <c r="F5" s="122"/>
      <c r="G5" s="121" t="s">
        <v>15</v>
      </c>
      <c r="H5" s="122" t="s">
        <v>6</v>
      </c>
      <c r="I5" s="122" t="s">
        <v>5</v>
      </c>
      <c r="J5" s="2"/>
      <c r="K5" s="121" t="s">
        <v>15</v>
      </c>
      <c r="L5" s="122" t="s">
        <v>6</v>
      </c>
      <c r="M5" s="123" t="s">
        <v>5</v>
      </c>
      <c r="N5" s="2"/>
      <c r="O5" s="169"/>
      <c r="P5" s="170"/>
      <c r="Q5" s="170"/>
      <c r="R5" s="170"/>
      <c r="S5" s="171"/>
      <c r="T5" s="169"/>
      <c r="U5" s="170"/>
      <c r="V5" s="170"/>
      <c r="W5" s="170"/>
      <c r="X5" s="171"/>
      <c r="Y5" s="169"/>
      <c r="Z5" s="170"/>
      <c r="AA5" s="170"/>
      <c r="AB5" s="170"/>
      <c r="AC5" s="171"/>
    </row>
    <row r="6" spans="1:29" x14ac:dyDescent="0.2">
      <c r="A6" s="2">
        <v>1</v>
      </c>
      <c r="B6" s="50"/>
      <c r="C6" s="124" t="str">
        <f>VLOOKUP(Misc!E2,Misc!$A$2:$B$13,2,FALSE)</f>
        <v>October</v>
      </c>
      <c r="D6" s="152">
        <f>IF(Example!$D$22,Example!$D$22,'Cost by Month'!$A6*Example!$D$23)+Example!$D$14*Example!$D$15*'Cost by Month'!$A6/12+(Example!$D$45*0.5)+(Example!$D$45*'Cost by Month'!$A5/12)+SUM(Example!$D$42:$D$46)-Example!$D$45</f>
        <v>0.113265</v>
      </c>
      <c r="E6" s="152">
        <f>Example!E$14*Example!E$15*'Cost by Month'!$A6/12+SUM(Example!E$42:E$46)+IF(('Cost by Month'!$A6-Example!E$19&lt;0),Example!E$18,Example!E$18+('Cost by Month'!$A6-Example!E$19)*Example!E$20)</f>
        <v>3.3599999999999998E-2</v>
      </c>
      <c r="F6" s="78"/>
      <c r="G6" s="125" t="str">
        <f>VLOOKUP(Misc!F2,Misc!$A$2:$B$13,2,FALSE)</f>
        <v>October</v>
      </c>
      <c r="H6" s="152">
        <f>IF(Example!$G$22,Example!$G$22,'Cost by Month'!$A6*Example!$G$23)+(Example!$G$14*Example!$G$15*'Cost by Month'!$A6/12)+(Example!$G$45*0.5)+(Example!$G$45*'Cost by Month'!$A5/12)+SUM(Example!$G$42:$G$46)-Example!$G$45</f>
        <v>0.20588516666666667</v>
      </c>
      <c r="I6" s="152">
        <f>Example!H$14*Example!H$15*'Cost by Month'!$A6/12+SUM(Example!H$42:H$46)+IF(('Cost by Month'!$A6-Example!H$19&lt;0),Example!H$18,Example!H$18+('Cost by Month'!$A6-Example!H$19)*Example!H$20)</f>
        <v>0.15586666666666665</v>
      </c>
      <c r="J6" s="2"/>
      <c r="K6" s="125" t="str">
        <f>VLOOKUP(Misc!G2,Misc!$A$2:$B$13,2,FALSE)</f>
        <v>September</v>
      </c>
      <c r="L6" s="152">
        <f>IF(Example!$J$22,Example!$J$22,'Cost by Month'!$A6*Example!$J$23)+Example!$J$14*Example!$J$15*'Cost by Month'!$A6/12+(Example!$J$45*0.5)+(Example!$J$45*'Cost by Month'!$A5/12)+SUM(Example!$J$42:$J$46)-Example!$J$45</f>
        <v>0.14835800000000002</v>
      </c>
      <c r="M6" s="154">
        <f>Example!K$14*Example!K$15*'Cost by Month'!$A6/12+SUM(Example!K$42:K$46)+IF(('Cost by Month'!$A6-Example!K$19&lt;0),Example!K$18,Example!K$18+('Cost by Month'!$A6-Example!K$19)*Example!K$20)</f>
        <v>5.2400000000000002E-2</v>
      </c>
      <c r="N6" s="2"/>
      <c r="O6" s="126" t="str">
        <f t="shared" ref="O6:O17" si="0">C6</f>
        <v>October</v>
      </c>
      <c r="P6" s="127" t="str">
        <f>VLOOKUP(O6,Misc!$I$2:$J$13,2,FALSE)</f>
        <v>December</v>
      </c>
      <c r="Q6" s="149">
        <v>5.62</v>
      </c>
      <c r="R6" s="149">
        <v>-0.55000000000000004</v>
      </c>
      <c r="S6" s="128">
        <f>Q6+R6</f>
        <v>5.07</v>
      </c>
      <c r="T6" s="126" t="str">
        <f t="shared" ref="T6:T17" si="1">G6</f>
        <v>October</v>
      </c>
      <c r="U6" s="127" t="str">
        <f>VLOOKUP(T6,Misc!$K$2:$L$13,2,FALSE)</f>
        <v>November</v>
      </c>
      <c r="V6" s="149">
        <v>13.43</v>
      </c>
      <c r="W6" s="149">
        <v>-0.55000000000000004</v>
      </c>
      <c r="X6" s="128">
        <f>V6+W6</f>
        <v>12.879999999999999</v>
      </c>
      <c r="Y6" s="126" t="str">
        <f t="shared" ref="Y6:Y17" si="2">K6</f>
        <v>September</v>
      </c>
      <c r="Z6" s="127" t="str">
        <f>VLOOKUP(Y6,Misc!$M$2:$N$13,2,FALSE)</f>
        <v>December</v>
      </c>
      <c r="AA6" s="149">
        <v>8.48</v>
      </c>
      <c r="AB6" s="149">
        <v>-0.6</v>
      </c>
      <c r="AC6" s="128">
        <f>AA6+AB6</f>
        <v>7.8800000000000008</v>
      </c>
    </row>
    <row r="7" spans="1:29" x14ac:dyDescent="0.2">
      <c r="A7" s="129">
        <v>2</v>
      </c>
      <c r="B7" s="130"/>
      <c r="C7" s="124" t="str">
        <f>VLOOKUP(Misc!E3,Misc!$A$2:$B$13,2,FALSE)</f>
        <v>November</v>
      </c>
      <c r="D7" s="152">
        <f>IF(Example!$D$22,Example!$D$22,'Cost by Month'!$A7*Example!$D$23)+Example!$D$14*Example!$D$15*'Cost by Month'!$A7/12+(Example!$D$45*0.5)+(Example!$D$45*'Cost by Month'!$A6/12)+SUM(Example!$D$42:$D$46)-Example!$D$45</f>
        <v>0.1474425</v>
      </c>
      <c r="E7" s="152">
        <f>Example!E$14*Example!E$15*'Cost by Month'!$A7/12+SUM(Example!E$42:E$46)+IF(('Cost by Month'!$A7-Example!E$19&lt;0),Example!E$18,Example!E$18+('Cost by Month'!$A7-Example!E$19)*Example!E$20)</f>
        <v>0.1172</v>
      </c>
      <c r="F7" s="78"/>
      <c r="G7" s="125" t="str">
        <f>VLOOKUP(Misc!F3,Misc!$A$2:$B$13,2,FALSE)</f>
        <v>November</v>
      </c>
      <c r="H7" s="152">
        <f>IF(Example!$G$22,Example!$G$22,'Cost by Month'!$A7*Example!$G$23)+(Example!$G$14*Example!$G$15*'Cost by Month'!$A7/12)+(Example!$G$45*0.5)+(Example!$G$45*'Cost by Month'!$A6/12)+SUM(Example!$G$42:$G$46)-Example!$G$45</f>
        <v>0.29227158333333331</v>
      </c>
      <c r="I7" s="152">
        <f>Example!H$14*Example!H$15*'Cost by Month'!$A7/12+SUM(Example!H$42:H$46)+IF(('Cost by Month'!$A7-Example!H$19&lt;0),Example!H$18,Example!H$18+('Cost by Month'!$A7-Example!H$19)*Example!H$20)</f>
        <v>0.31173333333333331</v>
      </c>
      <c r="J7" s="2"/>
      <c r="K7" s="125" t="str">
        <f>VLOOKUP(Misc!G3,Misc!$A$2:$B$13,2,FALSE)</f>
        <v>October</v>
      </c>
      <c r="L7" s="152">
        <f>IF(Example!$J$22,Example!$J$22,'Cost by Month'!$A7*Example!$J$23)+Example!$J$14*Example!$J$15*'Cost by Month'!$A7/12+(Example!$J$45*0.5)+(Example!$J$45*'Cost by Month'!$A6/12)+SUM(Example!$J$42:$J$46)-Example!$J$45</f>
        <v>0.20145100000000002</v>
      </c>
      <c r="M7" s="154">
        <f>Example!K$14*Example!K$15*'Cost by Month'!$A7/12+SUM(Example!K$42:K$46)+IF(('Cost by Month'!$A7-Example!K$19&lt;0),Example!K$18,Example!K$18+('Cost by Month'!$A7-Example!K$19)*Example!K$20)</f>
        <v>0.15479999999999999</v>
      </c>
      <c r="N7" s="2"/>
      <c r="O7" s="126" t="str">
        <f t="shared" si="0"/>
        <v>November</v>
      </c>
      <c r="P7" s="127" t="str">
        <f>VLOOKUP(O7,Misc!$I$2:$J$13,2,FALSE)</f>
        <v>December</v>
      </c>
      <c r="Q7" s="149">
        <v>5.62</v>
      </c>
      <c r="R7" s="149">
        <v>-0.55000000000000004</v>
      </c>
      <c r="S7" s="128">
        <f t="shared" ref="S7:S17" si="3">Q7+R7</f>
        <v>5.07</v>
      </c>
      <c r="T7" s="126" t="str">
        <f t="shared" si="1"/>
        <v>November</v>
      </c>
      <c r="U7" s="127" t="str">
        <f>VLOOKUP(T7,Misc!$K$2:$L$13,2,FALSE)</f>
        <v>January</v>
      </c>
      <c r="V7" s="149">
        <v>13.47</v>
      </c>
      <c r="W7" s="149">
        <v>-0.55000000000000004</v>
      </c>
      <c r="X7" s="128">
        <f t="shared" ref="X7:X17" si="4">V7+W7</f>
        <v>12.92</v>
      </c>
      <c r="Y7" s="126" t="str">
        <f t="shared" si="2"/>
        <v>October</v>
      </c>
      <c r="Z7" s="127" t="str">
        <f>VLOOKUP(Y7,Misc!$M$2:$N$13,2,FALSE)</f>
        <v>December</v>
      </c>
      <c r="AA7" s="149">
        <v>8.48</v>
      </c>
      <c r="AB7" s="149">
        <v>-0.7</v>
      </c>
      <c r="AC7" s="128">
        <f t="shared" ref="AC7:AC17" si="5">AA7+AB7</f>
        <v>7.78</v>
      </c>
    </row>
    <row r="8" spans="1:29" x14ac:dyDescent="0.2">
      <c r="A8" s="2">
        <v>3</v>
      </c>
      <c r="B8" s="50"/>
      <c r="C8" s="124" t="str">
        <f>VLOOKUP(Misc!E4,Misc!$A$2:$B$13,2,FALSE)</f>
        <v>December</v>
      </c>
      <c r="D8" s="152">
        <f>IF(Example!$D$22,Example!$D$22,'Cost by Month'!$A8*Example!$D$23)+Example!$D$14*Example!$D$15*'Cost by Month'!$A8/12+(Example!$D$45*0.5)+(Example!$D$45*'Cost by Month'!$A7/12)+SUM(Example!$D$42:$D$46)-Example!$D$45</f>
        <v>0.18162</v>
      </c>
      <c r="E8" s="152">
        <f>Example!E$14*Example!E$15*'Cost by Month'!$A8/12+SUM(Example!E$42:E$46)+IF(('Cost by Month'!$A8-Example!E$19&lt;0),Example!E$18,Example!E$18+('Cost by Month'!$A8-Example!E$19)*Example!E$20)</f>
        <v>0.20080000000000001</v>
      </c>
      <c r="F8" s="78"/>
      <c r="G8" s="125" t="str">
        <f>VLOOKUP(Misc!F4,Misc!$A$2:$B$13,2,FALSE)</f>
        <v>December</v>
      </c>
      <c r="H8" s="152">
        <f>IF(Example!$G$22,Example!$G$22,'Cost by Month'!$A8*Example!$G$23)+(Example!$G$14*Example!$G$15*'Cost by Month'!$A8/12)+(Example!$G$45*0.5)+(Example!$G$45*'Cost by Month'!$A7/12)+SUM(Example!$G$42:$G$46)-Example!$G$45</f>
        <v>0.37865800000000005</v>
      </c>
      <c r="I8" s="152">
        <f>Example!H$14*Example!H$15*'Cost by Month'!$A8/12+SUM(Example!H$42:H$46)+IF(('Cost by Month'!$A8-Example!H$19&lt;0),Example!H$18,Example!H$18+('Cost by Month'!$A8-Example!H$19)*Example!H$20)</f>
        <v>0.46760000000000002</v>
      </c>
      <c r="J8" s="2"/>
      <c r="K8" s="125" t="str">
        <f>VLOOKUP(Misc!G4,Misc!$A$2:$B$13,2,FALSE)</f>
        <v>November</v>
      </c>
      <c r="L8" s="152">
        <f>IF(Example!$J$22,Example!$J$22,'Cost by Month'!$A8*Example!$J$23)+Example!$J$14*Example!$J$15*'Cost by Month'!$A8/12+(Example!$J$45*0.5)+(Example!$J$45*'Cost by Month'!$A7/12)+SUM(Example!$J$42:$J$46)-Example!$J$45</f>
        <v>0.25454399999999999</v>
      </c>
      <c r="M8" s="154">
        <f>Example!K$14*Example!K$15*'Cost by Month'!$A8/12+SUM(Example!K$42:K$46)+IF(('Cost by Month'!$A8-Example!K$19&lt;0),Example!K$18,Example!K$18+('Cost by Month'!$A8-Example!K$19)*Example!K$20)</f>
        <v>0.25719999999999998</v>
      </c>
      <c r="N8" s="2"/>
      <c r="O8" s="126" t="str">
        <f t="shared" si="0"/>
        <v>December</v>
      </c>
      <c r="P8" s="127" t="str">
        <f>VLOOKUP(O8,Misc!$I$2:$J$13,2,FALSE)</f>
        <v>March</v>
      </c>
      <c r="Q8" s="149">
        <v>5.71</v>
      </c>
      <c r="R8" s="149">
        <v>-0.45</v>
      </c>
      <c r="S8" s="128">
        <f t="shared" si="3"/>
        <v>5.26</v>
      </c>
      <c r="T8" s="126" t="str">
        <f t="shared" si="1"/>
        <v>December</v>
      </c>
      <c r="U8" s="127" t="str">
        <f>VLOOKUP(T8,Misc!$K$2:$L$13,2,FALSE)</f>
        <v>January</v>
      </c>
      <c r="V8" s="149">
        <v>13.47</v>
      </c>
      <c r="W8" s="149">
        <v>-0.5</v>
      </c>
      <c r="X8" s="128">
        <f t="shared" si="4"/>
        <v>12.97</v>
      </c>
      <c r="Y8" s="126" t="str">
        <f t="shared" si="2"/>
        <v>November</v>
      </c>
      <c r="Z8" s="127" t="str">
        <f>VLOOKUP(Y8,Misc!$M$2:$N$13,2,FALSE)</f>
        <v>December</v>
      </c>
      <c r="AA8" s="149">
        <v>8.48</v>
      </c>
      <c r="AB8" s="149">
        <v>-0.7</v>
      </c>
      <c r="AC8" s="128">
        <f t="shared" si="5"/>
        <v>7.78</v>
      </c>
    </row>
    <row r="9" spans="1:29" x14ac:dyDescent="0.2">
      <c r="A9" s="2">
        <v>4</v>
      </c>
      <c r="B9" s="50"/>
      <c r="C9" s="124" t="str">
        <f>VLOOKUP(Misc!E5,Misc!$A$2:$B$13,2,FALSE)</f>
        <v>January</v>
      </c>
      <c r="D9" s="152">
        <f>IF(Example!$D$22,Example!$D$22,'Cost by Month'!$A9*Example!$D$23)+Example!$D$14*Example!$D$15*'Cost by Month'!$A9/12+(Example!$D$45*0.5)+(Example!$D$45*'Cost by Month'!$A8/12)+SUM(Example!$D$42:$D$46)-Example!$D$45</f>
        <v>0.2157975</v>
      </c>
      <c r="E9" s="152">
        <f>Example!E$14*Example!E$15*'Cost by Month'!$A9/12+SUM(Example!E$42:E$46)+IF(('Cost by Month'!$A9-Example!E$19&lt;0),Example!E$18,Example!E$18+('Cost by Month'!$A9-Example!E$19)*Example!E$20)</f>
        <v>0.28439999999999999</v>
      </c>
      <c r="F9" s="78"/>
      <c r="G9" s="125" t="str">
        <f>VLOOKUP(Misc!F5,Misc!$A$2:$B$13,2,FALSE)</f>
        <v>January</v>
      </c>
      <c r="H9" s="152">
        <f>IF(Example!$G$22,Example!$G$22,'Cost by Month'!$A9*Example!$G$23)+(Example!$G$14*Example!$G$15*'Cost by Month'!$A9/12)+(Example!$G$45*0.5)+(Example!$G$45*'Cost by Month'!$A8/12)+SUM(Example!$G$42:$G$46)-Example!$G$45</f>
        <v>0.46504441666666668</v>
      </c>
      <c r="I9" s="152">
        <f>Example!H$14*Example!H$15*'Cost by Month'!$A9/12+SUM(Example!H$42:H$46)+IF(('Cost by Month'!$A9-Example!H$19&lt;0),Example!H$18,Example!H$18+('Cost by Month'!$A9-Example!H$19)*Example!H$20)</f>
        <v>0.62346666666666661</v>
      </c>
      <c r="J9" s="2"/>
      <c r="K9" s="125" t="str">
        <f>VLOOKUP(Misc!G5,Misc!$A$2:$B$13,2,FALSE)</f>
        <v>December</v>
      </c>
      <c r="L9" s="152">
        <f>IF(Example!$J$22,Example!$J$22,'Cost by Month'!$A9*Example!$J$23)+Example!$J$14*Example!$J$15*'Cost by Month'!$A9/12+(Example!$J$45*0.5)+(Example!$J$45*'Cost by Month'!$A8/12)+SUM(Example!$J$42:$J$46)-Example!$J$45</f>
        <v>0.30763700000000005</v>
      </c>
      <c r="M9" s="154">
        <f>Example!K$14*Example!K$15*'Cost by Month'!$A9/12+SUM(Example!K$42:K$46)+IF(('Cost by Month'!$A9-Example!K$19&lt;0),Example!K$18,Example!K$18+('Cost by Month'!$A9-Example!K$19)*Example!K$20)</f>
        <v>0.35960000000000003</v>
      </c>
      <c r="N9" s="2"/>
      <c r="O9" s="126" t="str">
        <f t="shared" si="0"/>
        <v>January</v>
      </c>
      <c r="P9" s="127" t="str">
        <f>VLOOKUP(O9,Misc!$I$2:$J$13,2,FALSE)</f>
        <v>March</v>
      </c>
      <c r="Q9" s="149">
        <v>5.71</v>
      </c>
      <c r="R9" s="149">
        <v>-0.55000000000000004</v>
      </c>
      <c r="S9" s="128">
        <f t="shared" si="3"/>
        <v>5.16</v>
      </c>
      <c r="T9" s="126" t="str">
        <f t="shared" si="1"/>
        <v>January</v>
      </c>
      <c r="U9" s="127" t="str">
        <f>VLOOKUP(T9,Misc!$K$2:$L$13,2,FALSE)</f>
        <v>March</v>
      </c>
      <c r="V9" s="149">
        <v>13.4</v>
      </c>
      <c r="W9" s="149">
        <v>-0.5</v>
      </c>
      <c r="X9" s="128">
        <f t="shared" si="4"/>
        <v>12.9</v>
      </c>
      <c r="Y9" s="126" t="str">
        <f t="shared" si="2"/>
        <v>December</v>
      </c>
      <c r="Z9" s="127" t="str">
        <f>VLOOKUP(Y9,Misc!$M$2:$N$13,2,FALSE)</f>
        <v>March</v>
      </c>
      <c r="AA9" s="149">
        <v>8.48</v>
      </c>
      <c r="AB9" s="149">
        <v>-0.55000000000000004</v>
      </c>
      <c r="AC9" s="128">
        <f t="shared" si="5"/>
        <v>7.9300000000000006</v>
      </c>
    </row>
    <row r="10" spans="1:29" x14ac:dyDescent="0.2">
      <c r="A10" s="2">
        <v>5</v>
      </c>
      <c r="B10" s="50"/>
      <c r="C10" s="124" t="str">
        <f>VLOOKUP(Misc!E6,Misc!$A$2:$B$13,2,FALSE)</f>
        <v>February</v>
      </c>
      <c r="D10" s="152">
        <f>IF(Example!$D$22,Example!$D$22,'Cost by Month'!$A10*Example!$D$23)+Example!$D$14*Example!$D$15*'Cost by Month'!$A10/12+(Example!$D$45*0.5)+(Example!$D$45*'Cost by Month'!$A9/12)+SUM(Example!$D$42:$D$46)-Example!$D$45</f>
        <v>0.24997500000000006</v>
      </c>
      <c r="E10" s="152">
        <f>Example!E$14*Example!E$15*'Cost by Month'!$A10/12+SUM(Example!E$42:E$46)+IF(('Cost by Month'!$A10-Example!E$19&lt;0),Example!E$18,Example!E$18+('Cost by Month'!$A10-Example!E$19)*Example!E$20)</f>
        <v>0.36799999999999999</v>
      </c>
      <c r="F10" s="78"/>
      <c r="G10" s="125" t="str">
        <f>VLOOKUP(Misc!F6,Misc!$A$2:$B$13,2,FALSE)</f>
        <v>February</v>
      </c>
      <c r="H10" s="152">
        <f>IF(Example!$G$22,Example!$G$22,'Cost by Month'!$A10*Example!$G$23)+(Example!$G$14*Example!$G$15*'Cost by Month'!$A10/12)+(Example!$G$45*0.5)+(Example!$G$45*'Cost by Month'!$A9/12)+SUM(Example!$G$42:$G$46)-Example!$G$45</f>
        <v>0.55143083333333331</v>
      </c>
      <c r="I10" s="152">
        <f>Example!H$14*Example!H$15*'Cost by Month'!$A10/12+SUM(Example!H$42:H$46)+IF(('Cost by Month'!$A10-Example!H$19&lt;0),Example!H$18,Example!H$18+('Cost by Month'!$A10-Example!H$19)*Example!H$20)</f>
        <v>0.77933333333333343</v>
      </c>
      <c r="J10" s="2"/>
      <c r="K10" s="125" t="str">
        <f>VLOOKUP(Misc!G6,Misc!$A$2:$B$13,2,FALSE)</f>
        <v>January</v>
      </c>
      <c r="L10" s="152">
        <f>IF(Example!$J$22,Example!$J$22,'Cost by Month'!$A10*Example!$J$23)+Example!$J$14*Example!$J$15*'Cost by Month'!$A10/12+(Example!$J$45*0.5)+(Example!$J$45*'Cost by Month'!$A9/12)+SUM(Example!$J$42:$J$46)-Example!$J$45</f>
        <v>0.36073</v>
      </c>
      <c r="M10" s="154">
        <f>Example!K$14*Example!K$15*'Cost by Month'!$A10/12+SUM(Example!K$42:K$46)+IF(('Cost by Month'!$A10-Example!K$19&lt;0),Example!K$18,Example!K$18+('Cost by Month'!$A10-Example!K$19)*Example!K$20)</f>
        <v>0.46200000000000002</v>
      </c>
      <c r="N10" s="2"/>
      <c r="O10" s="126" t="str">
        <f t="shared" si="0"/>
        <v>February</v>
      </c>
      <c r="P10" s="127" t="str">
        <f>VLOOKUP(O10,Misc!$I$2:$J$13,2,FALSE)</f>
        <v>March</v>
      </c>
      <c r="Q10" s="149">
        <v>5.71</v>
      </c>
      <c r="R10" s="149">
        <v>-0.5</v>
      </c>
      <c r="S10" s="128">
        <f t="shared" si="3"/>
        <v>5.21</v>
      </c>
      <c r="T10" s="126" t="str">
        <f t="shared" si="1"/>
        <v>February</v>
      </c>
      <c r="U10" s="127" t="str">
        <f>VLOOKUP(T10,Misc!$K$2:$L$13,2,FALSE)</f>
        <v>March</v>
      </c>
      <c r="V10" s="149">
        <v>13.4</v>
      </c>
      <c r="W10" s="149">
        <v>-0.45</v>
      </c>
      <c r="X10" s="128">
        <f t="shared" si="4"/>
        <v>12.950000000000001</v>
      </c>
      <c r="Y10" s="126" t="str">
        <f t="shared" si="2"/>
        <v>January</v>
      </c>
      <c r="Z10" s="127" t="str">
        <f>VLOOKUP(Y10,Misc!$M$2:$N$13,2,FALSE)</f>
        <v>March</v>
      </c>
      <c r="AA10" s="149">
        <v>8.48</v>
      </c>
      <c r="AB10" s="149">
        <v>-0.6</v>
      </c>
      <c r="AC10" s="128">
        <f t="shared" si="5"/>
        <v>7.8800000000000008</v>
      </c>
    </row>
    <row r="11" spans="1:29" x14ac:dyDescent="0.2">
      <c r="A11" s="2">
        <v>6</v>
      </c>
      <c r="B11" s="50"/>
      <c r="C11" s="124" t="str">
        <f>VLOOKUP(Misc!E7,Misc!$A$2:$B$13,2,FALSE)</f>
        <v>March</v>
      </c>
      <c r="D11" s="152">
        <f>IF(Example!$D$22,Example!$D$22,'Cost by Month'!$A11*Example!$D$23)+Example!$D$14*Example!$D$15*'Cost by Month'!$A11/12+(Example!$D$45*0.5)+(Example!$D$45*'Cost by Month'!$A10/12)+SUM(Example!$D$42:$D$46)-Example!$D$45</f>
        <v>0.28415250000000003</v>
      </c>
      <c r="E11" s="152">
        <f>Example!E$14*Example!E$15*'Cost by Month'!$A11/12+SUM(Example!E$42:E$46)+IF(('Cost by Month'!$A11-Example!E$19&lt;0),Example!E$18,Example!E$18+('Cost by Month'!$A11-Example!E$19)*Example!E$20)</f>
        <v>0.4516</v>
      </c>
      <c r="F11" s="78"/>
      <c r="G11" s="125" t="str">
        <f>VLOOKUP(Misc!F7,Misc!$A$2:$B$13,2,FALSE)</f>
        <v>March</v>
      </c>
      <c r="H11" s="152">
        <f>IF(Example!$G$22,Example!$G$22,'Cost by Month'!$A11*Example!$G$23)+(Example!$G$14*Example!$G$15*'Cost by Month'!$A11/12)+(Example!$G$45*0.5)+(Example!$G$45*'Cost by Month'!$A10/12)+SUM(Example!$G$42:$G$46)-Example!$G$45</f>
        <v>0.63781724999999989</v>
      </c>
      <c r="I11" s="152">
        <f>Example!H$14*Example!H$15*'Cost by Month'!$A11/12+SUM(Example!H$42:H$46)+IF(('Cost by Month'!$A11-Example!H$19&lt;0),Example!H$18,Example!H$18+('Cost by Month'!$A11-Example!H$19)*Example!H$20)</f>
        <v>0.93520000000000003</v>
      </c>
      <c r="J11" s="2"/>
      <c r="K11" s="125" t="str">
        <f>VLOOKUP(Misc!G7,Misc!$A$2:$B$13,2,FALSE)</f>
        <v>February</v>
      </c>
      <c r="L11" s="152">
        <f>IF(Example!$J$22,Example!$J$22,'Cost by Month'!$A11*Example!$J$23)+Example!$J$14*Example!$J$15*'Cost by Month'!$A11/12+(Example!$J$45*0.5)+(Example!$J$45*'Cost by Month'!$A10/12)+SUM(Example!$J$42:$J$46)-Example!$J$45</f>
        <v>0.41382300000000005</v>
      </c>
      <c r="M11" s="154">
        <f>Example!K$14*Example!K$15*'Cost by Month'!$A11/12+SUM(Example!K$42:K$46)+IF(('Cost by Month'!$A11-Example!K$19&lt;0),Example!K$18,Example!K$18+('Cost by Month'!$A11-Example!K$19)*Example!K$20)</f>
        <v>0.56440000000000001</v>
      </c>
      <c r="N11" s="2"/>
      <c r="O11" s="126" t="str">
        <f t="shared" si="0"/>
        <v>March</v>
      </c>
      <c r="P11" s="127" t="str">
        <f>VLOOKUP(O11,Misc!$I$2:$J$13,2,FALSE)</f>
        <v>May</v>
      </c>
      <c r="Q11" s="149">
        <v>5.76</v>
      </c>
      <c r="R11" s="149">
        <v>-0.45</v>
      </c>
      <c r="S11" s="128">
        <f t="shared" si="3"/>
        <v>5.31</v>
      </c>
      <c r="T11" s="126" t="str">
        <f t="shared" si="1"/>
        <v>March</v>
      </c>
      <c r="U11" s="127" t="str">
        <f>VLOOKUP(T11,Misc!$K$2:$L$13,2,FALSE)</f>
        <v>May</v>
      </c>
      <c r="V11" s="149">
        <v>13.35</v>
      </c>
      <c r="W11" s="149">
        <v>-0.45</v>
      </c>
      <c r="X11" s="128">
        <f t="shared" si="4"/>
        <v>12.9</v>
      </c>
      <c r="Y11" s="126" t="str">
        <f t="shared" si="2"/>
        <v>February</v>
      </c>
      <c r="Z11" s="127" t="str">
        <f>VLOOKUP(Y11,Misc!$M$2:$N$13,2,FALSE)</f>
        <v>March</v>
      </c>
      <c r="AA11" s="149">
        <v>8.48</v>
      </c>
      <c r="AB11" s="149">
        <v>-0.6</v>
      </c>
      <c r="AC11" s="128">
        <f t="shared" si="5"/>
        <v>7.8800000000000008</v>
      </c>
    </row>
    <row r="12" spans="1:29" x14ac:dyDescent="0.2">
      <c r="A12" s="2">
        <v>7</v>
      </c>
      <c r="B12" s="50"/>
      <c r="C12" s="124" t="str">
        <f>VLOOKUP(Misc!E8,Misc!$A$2:$B$13,2,FALSE)</f>
        <v>April</v>
      </c>
      <c r="D12" s="152">
        <f>IF(Example!$D$22,Example!$D$22,'Cost by Month'!$A12*Example!$D$23)+Example!$D$14*Example!$D$15*'Cost by Month'!$A12/12+(Example!$D$45*0.5)+(Example!$D$45*'Cost by Month'!$A11/12)+SUM(Example!$D$42:$D$46)-Example!$D$45</f>
        <v>0.31833</v>
      </c>
      <c r="E12" s="152">
        <f>Example!E$14*Example!E$15*'Cost by Month'!$A12/12+SUM(Example!E$42:E$46)+IF(('Cost by Month'!$A12-Example!E$19&lt;0),Example!E$18,Example!E$18+('Cost by Month'!$A12-Example!E$19)*Example!E$20)</f>
        <v>0.53520000000000001</v>
      </c>
      <c r="F12" s="78"/>
      <c r="G12" s="125" t="str">
        <f>VLOOKUP(Misc!F8,Misc!$A$2:$B$13,2,FALSE)</f>
        <v>April</v>
      </c>
      <c r="H12" s="152">
        <f>IF(Example!$G$22,Example!$G$22,'Cost by Month'!$A12*Example!$G$23)+(Example!$G$14*Example!$G$15*'Cost by Month'!$A12/12)+(Example!$G$45*0.5)+(Example!$G$45*'Cost by Month'!$A11/12)+SUM(Example!$G$42:$G$46)-Example!$G$45</f>
        <v>0.72420366666666669</v>
      </c>
      <c r="I12" s="152">
        <f>Example!H$14*Example!H$15*'Cost by Month'!$A12/12+SUM(Example!H$42:H$46)+IF(('Cost by Month'!$A12-Example!H$19&lt;0),Example!H$18,Example!H$18+('Cost by Month'!$A12-Example!H$19)*Example!H$20)</f>
        <v>1.0910666666666666</v>
      </c>
      <c r="J12" s="2"/>
      <c r="K12" s="125" t="str">
        <f>VLOOKUP(Misc!G8,Misc!$A$2:$B$13,2,FALSE)</f>
        <v>March</v>
      </c>
      <c r="L12" s="152">
        <f>IF(Example!$J$22,Example!$J$22,'Cost by Month'!$A12*Example!$J$23)+Example!$J$14*Example!$J$15*'Cost by Month'!$A12/12+(Example!$J$45*0.5)+(Example!$J$45*'Cost by Month'!$A11/12)+SUM(Example!$J$42:$J$46)-Example!$J$45</f>
        <v>0.466916</v>
      </c>
      <c r="M12" s="154">
        <f>Example!K$14*Example!K$15*'Cost by Month'!$A12/12+SUM(Example!K$42:K$46)+IF(('Cost by Month'!$A12-Example!K$19&lt;0),Example!K$18,Example!K$18+('Cost by Month'!$A12-Example!K$19)*Example!K$20)</f>
        <v>0.66680000000000006</v>
      </c>
      <c r="N12" s="2"/>
      <c r="O12" s="126" t="str">
        <f t="shared" si="0"/>
        <v>April</v>
      </c>
      <c r="P12" s="127" t="str">
        <f>VLOOKUP(O12,Misc!$I$2:$J$13,2,FALSE)</f>
        <v>May</v>
      </c>
      <c r="Q12" s="149">
        <v>5.76</v>
      </c>
      <c r="R12" s="149">
        <v>-0.45</v>
      </c>
      <c r="S12" s="128">
        <f t="shared" si="3"/>
        <v>5.31</v>
      </c>
      <c r="T12" s="126" t="str">
        <f t="shared" si="1"/>
        <v>April</v>
      </c>
      <c r="U12" s="127" t="str">
        <f>VLOOKUP(T12,Misc!$K$2:$L$13,2,FALSE)</f>
        <v>May</v>
      </c>
      <c r="V12" s="149">
        <v>13.35</v>
      </c>
      <c r="W12" s="149">
        <v>-0.4</v>
      </c>
      <c r="X12" s="128">
        <f t="shared" si="4"/>
        <v>12.95</v>
      </c>
      <c r="Y12" s="126" t="str">
        <f t="shared" si="2"/>
        <v>March</v>
      </c>
      <c r="Z12" s="127" t="str">
        <f>VLOOKUP(Y12,Misc!$M$2:$N$13,2,FALSE)</f>
        <v>May</v>
      </c>
      <c r="AA12" s="149">
        <v>8.36</v>
      </c>
      <c r="AB12" s="149">
        <v>-0.55000000000000004</v>
      </c>
      <c r="AC12" s="128">
        <f t="shared" si="5"/>
        <v>7.81</v>
      </c>
    </row>
    <row r="13" spans="1:29" x14ac:dyDescent="0.2">
      <c r="A13" s="2">
        <v>8</v>
      </c>
      <c r="B13" s="50"/>
      <c r="C13" s="124" t="str">
        <f>VLOOKUP(Misc!E9,Misc!$A$2:$B$13,2,FALSE)</f>
        <v>May</v>
      </c>
      <c r="D13" s="152">
        <f>IF(Example!$D$22,Example!$D$22,'Cost by Month'!$A13*Example!$D$23)+Example!$D$14*Example!$D$15*'Cost by Month'!$A13/12+(Example!$D$45*0.5)+(Example!$D$45*'Cost by Month'!$A12/12)+SUM(Example!$D$42:$D$46)-Example!$D$45</f>
        <v>0.35250749999999997</v>
      </c>
      <c r="E13" s="152">
        <f>Example!E$14*Example!E$15*'Cost by Month'!$A13/12+SUM(Example!E$42:E$46)+IF(('Cost by Month'!$A13-Example!E$19&lt;0),Example!E$18,Example!E$18+('Cost by Month'!$A13-Example!E$19)*Example!E$20)</f>
        <v>0.61880000000000002</v>
      </c>
      <c r="F13" s="78"/>
      <c r="G13" s="125" t="str">
        <f>VLOOKUP(Misc!F9,Misc!$A$2:$B$13,2,FALSE)</f>
        <v>May</v>
      </c>
      <c r="H13" s="152">
        <f>IF(Example!$G$22,Example!$G$22,'Cost by Month'!$A13*Example!$G$23)+(Example!$G$14*Example!$G$15*'Cost by Month'!$A13/12)+(Example!$G$45*0.5)+(Example!$G$45*'Cost by Month'!$A12/12)+SUM(Example!$G$42:$G$46)-Example!$G$45</f>
        <v>0.81059008333333327</v>
      </c>
      <c r="I13" s="152">
        <f>Example!H$14*Example!H$15*'Cost by Month'!$A13/12+SUM(Example!H$42:H$46)+IF(('Cost by Month'!$A13-Example!H$19&lt;0),Example!H$18,Example!H$18+('Cost by Month'!$A13-Example!H$19)*Example!H$20)</f>
        <v>1.2469333333333332</v>
      </c>
      <c r="J13" s="2"/>
      <c r="K13" s="125" t="str">
        <f>VLOOKUP(Misc!G9,Misc!$A$2:$B$13,2,FALSE)</f>
        <v>April</v>
      </c>
      <c r="L13" s="152">
        <f>IF(Example!$J$22,Example!$J$22,'Cost by Month'!$A13*Example!$J$23)+Example!$J$14*Example!$J$15*'Cost by Month'!$A13/12+(Example!$J$45*0.5)+(Example!$J$45*'Cost by Month'!$A12/12)+SUM(Example!$J$42:$J$46)-Example!$J$45</f>
        <v>0.52000900000000005</v>
      </c>
      <c r="M13" s="154">
        <f>Example!K$14*Example!K$15*'Cost by Month'!$A13/12+SUM(Example!K$42:K$46)+IF(('Cost by Month'!$A13-Example!K$19&lt;0),Example!K$18,Example!K$18+('Cost by Month'!$A13-Example!K$19)*Example!K$20)</f>
        <v>0.76920000000000011</v>
      </c>
      <c r="N13" s="2"/>
      <c r="O13" s="126" t="str">
        <f t="shared" si="0"/>
        <v>May</v>
      </c>
      <c r="P13" s="127" t="str">
        <f>VLOOKUP(O13,Misc!$I$2:$J$13,2,FALSE)</f>
        <v>July</v>
      </c>
      <c r="Q13" s="149">
        <v>5.77</v>
      </c>
      <c r="R13" s="149">
        <v>-0.4</v>
      </c>
      <c r="S13" s="128">
        <f t="shared" si="3"/>
        <v>5.3699999999999992</v>
      </c>
      <c r="T13" s="126" t="str">
        <f t="shared" si="1"/>
        <v>May</v>
      </c>
      <c r="U13" s="127" t="str">
        <f>VLOOKUP(T13,Misc!$K$2:$L$13,2,FALSE)</f>
        <v>July</v>
      </c>
      <c r="V13" s="149">
        <v>13.38</v>
      </c>
      <c r="W13" s="149">
        <v>-0.3</v>
      </c>
      <c r="X13" s="128">
        <f t="shared" si="4"/>
        <v>13.08</v>
      </c>
      <c r="Y13" s="126" t="str">
        <f t="shared" si="2"/>
        <v>April</v>
      </c>
      <c r="Z13" s="127" t="str">
        <f>VLOOKUP(Y13,Misc!$M$2:$N$13,2,FALSE)</f>
        <v>May</v>
      </c>
      <c r="AA13" s="149">
        <v>8.36</v>
      </c>
      <c r="AB13" s="149">
        <v>-0.55000000000000004</v>
      </c>
      <c r="AC13" s="128">
        <f t="shared" si="5"/>
        <v>7.81</v>
      </c>
    </row>
    <row r="14" spans="1:29" x14ac:dyDescent="0.2">
      <c r="A14" s="2">
        <v>9</v>
      </c>
      <c r="B14" s="50"/>
      <c r="C14" s="124" t="str">
        <f>VLOOKUP(Misc!E10,Misc!$A$2:$B$13,2,FALSE)</f>
        <v>June</v>
      </c>
      <c r="D14" s="152">
        <f>IF(Example!$D$22,Example!$D$22,'Cost by Month'!$A14*Example!$D$23)+Example!$D$14*Example!$D$15*'Cost by Month'!$A14/12+(Example!$D$45*0.5)+(Example!$D$45*'Cost by Month'!$A13/12)+SUM(Example!$D$42:$D$46)-Example!$D$45</f>
        <v>0.38668500000000006</v>
      </c>
      <c r="E14" s="152">
        <f>Example!E$14*Example!E$15*'Cost by Month'!$A14/12+SUM(Example!E$42:E$46)+IF(('Cost by Month'!$A14-Example!E$19&lt;0),Example!E$18,Example!E$18+('Cost by Month'!$A14-Example!E$19)*Example!E$20)</f>
        <v>0.70240000000000002</v>
      </c>
      <c r="F14" s="78"/>
      <c r="G14" s="125" t="str">
        <f>VLOOKUP(Misc!F10,Misc!$A$2:$B$13,2,FALSE)</f>
        <v>June</v>
      </c>
      <c r="H14" s="152">
        <f>IF(Example!$G$22,Example!$G$22,'Cost by Month'!$A14*Example!$G$23)+(Example!$G$14*Example!$G$15*'Cost by Month'!$A14/12)+(Example!$G$45*0.5)+(Example!$G$45*'Cost by Month'!$A13/12)+SUM(Example!$G$42:$G$46)-Example!$G$45</f>
        <v>0.89697650000000007</v>
      </c>
      <c r="I14" s="152">
        <f>Example!H$14*Example!H$15*'Cost by Month'!$A14/12+SUM(Example!H$42:H$46)+IF(('Cost by Month'!$A14-Example!H$19&lt;0),Example!H$18,Example!H$18+('Cost by Month'!$A14-Example!H$19)*Example!H$20)</f>
        <v>1.4028</v>
      </c>
      <c r="J14" s="2"/>
      <c r="K14" s="125" t="str">
        <f>VLOOKUP(Misc!G10,Misc!$A$2:$B$13,2,FALSE)</f>
        <v>May</v>
      </c>
      <c r="L14" s="152">
        <f>IF(Example!$J$22,Example!$J$22,'Cost by Month'!$A14*Example!$J$23)+Example!$J$14*Example!$J$15*'Cost by Month'!$A14/12+(Example!$J$45*0.5)+(Example!$J$45*'Cost by Month'!$A13/12)+SUM(Example!$J$42:$J$46)-Example!$J$45</f>
        <v>0.573102</v>
      </c>
      <c r="M14" s="154">
        <f>Example!K$14*Example!K$15*'Cost by Month'!$A14/12+SUM(Example!K$42:K$46)+IF(('Cost by Month'!$A14-Example!K$19&lt;0),Example!K$18,Example!K$18+('Cost by Month'!$A14-Example!K$19)*Example!K$20)</f>
        <v>0.87160000000000004</v>
      </c>
      <c r="N14" s="2"/>
      <c r="O14" s="126" t="str">
        <f t="shared" si="0"/>
        <v>June</v>
      </c>
      <c r="P14" s="127" t="str">
        <f>VLOOKUP(O14,Misc!$I$2:$J$13,2,FALSE)</f>
        <v>July</v>
      </c>
      <c r="Q14" s="149">
        <v>5.77</v>
      </c>
      <c r="R14" s="149">
        <v>-0.35</v>
      </c>
      <c r="S14" s="128">
        <f t="shared" si="3"/>
        <v>5.42</v>
      </c>
      <c r="T14" s="126" t="str">
        <f t="shared" si="1"/>
        <v>June</v>
      </c>
      <c r="U14" s="127" t="str">
        <f>VLOOKUP(T14,Misc!$K$2:$L$13,2,FALSE)</f>
        <v>July</v>
      </c>
      <c r="V14" s="149">
        <v>13.38</v>
      </c>
      <c r="W14" s="149">
        <v>-0.4</v>
      </c>
      <c r="X14" s="128">
        <f t="shared" si="4"/>
        <v>12.98</v>
      </c>
      <c r="Y14" s="126" t="str">
        <f t="shared" si="2"/>
        <v>May</v>
      </c>
      <c r="Z14" s="127" t="str">
        <f>VLOOKUP(Y14,Misc!$M$2:$N$13,2,FALSE)</f>
        <v>July</v>
      </c>
      <c r="AA14" s="149">
        <v>8.2899999999999991</v>
      </c>
      <c r="AB14" s="149">
        <v>-0.5</v>
      </c>
      <c r="AC14" s="128">
        <f t="shared" si="5"/>
        <v>7.7899999999999991</v>
      </c>
    </row>
    <row r="15" spans="1:29" x14ac:dyDescent="0.2">
      <c r="A15" s="2">
        <v>10</v>
      </c>
      <c r="B15" s="50"/>
      <c r="C15" s="124" t="str">
        <f>VLOOKUP(Misc!E11,Misc!$A$2:$B$13,2,FALSE)</f>
        <v>July</v>
      </c>
      <c r="D15" s="152">
        <f>IF(Example!$D$22,Example!$D$22,'Cost by Month'!$A15*Example!$D$23)+Example!$D$14*Example!$D$15*'Cost by Month'!$A15/12+(Example!$D$45*0.5)+(Example!$D$45*'Cost by Month'!$A14/12)+SUM(Example!$D$42:$D$46)-Example!$D$45</f>
        <v>0.42086250000000003</v>
      </c>
      <c r="E15" s="152">
        <f>Example!E$14*Example!E$15*'Cost by Month'!$A15/12+SUM(Example!E$42:E$46)+IF(('Cost by Month'!$A15-Example!E$19&lt;0),Example!E$18,Example!E$18+('Cost by Month'!$A15-Example!E$19)*Example!E$20)</f>
        <v>0.78600000000000003</v>
      </c>
      <c r="F15" s="78"/>
      <c r="G15" s="125" t="str">
        <f>VLOOKUP(Misc!F11,Misc!$A$2:$B$13,2,FALSE)</f>
        <v>July</v>
      </c>
      <c r="H15" s="152">
        <f>IF(Example!$G$22,Example!$G$22,'Cost by Month'!$A15*Example!$G$23)+(Example!$G$14*Example!$G$15*'Cost by Month'!$A15/12)+(Example!$G$45*0.5)+(Example!$G$45*'Cost by Month'!$A14/12)+SUM(Example!$G$42:$G$46)-Example!$G$45</f>
        <v>0.98336291666666664</v>
      </c>
      <c r="I15" s="152">
        <f>Example!H$14*Example!H$15*'Cost by Month'!$A15/12+SUM(Example!H$42:H$46)+IF(('Cost by Month'!$A15-Example!H$19&lt;0),Example!H$18,Example!H$18+('Cost by Month'!$A15-Example!H$19)*Example!H$20)</f>
        <v>1.5586666666666669</v>
      </c>
      <c r="J15" s="2"/>
      <c r="K15" s="125" t="str">
        <f>VLOOKUP(Misc!G11,Misc!$A$2:$B$13,2,FALSE)</f>
        <v>June</v>
      </c>
      <c r="L15" s="152">
        <f>IF(Example!$J$22,Example!$J$22,'Cost by Month'!$A15*Example!$J$23)+Example!$J$14*Example!$J$15*'Cost by Month'!$A15/12+(Example!$J$45*0.5)+(Example!$J$45*'Cost by Month'!$A14/12)+SUM(Example!$J$42:$J$46)-Example!$J$45</f>
        <v>0.62619500000000006</v>
      </c>
      <c r="M15" s="154">
        <f>Example!K$14*Example!K$15*'Cost by Month'!$A15/12+SUM(Example!K$42:K$46)+IF(('Cost by Month'!$A15-Example!K$19&lt;0),Example!K$18,Example!K$18+('Cost by Month'!$A15-Example!K$19)*Example!K$20)</f>
        <v>0.97399999999999998</v>
      </c>
      <c r="N15" s="2"/>
      <c r="O15" s="126" t="str">
        <f t="shared" si="0"/>
        <v>July</v>
      </c>
      <c r="P15" s="127" t="str">
        <f>VLOOKUP(O15,Misc!$I$2:$J$13,2,FALSE)</f>
        <v>September</v>
      </c>
      <c r="Q15" s="149">
        <v>5.49</v>
      </c>
      <c r="R15" s="149">
        <v>-0.3</v>
      </c>
      <c r="S15" s="128">
        <f t="shared" si="3"/>
        <v>5.19</v>
      </c>
      <c r="T15" s="126" t="str">
        <f t="shared" si="1"/>
        <v>July</v>
      </c>
      <c r="U15" s="127" t="str">
        <f>VLOOKUP(T15,Misc!$K$2:$L$13,2,FALSE)</f>
        <v>August</v>
      </c>
      <c r="V15" s="149">
        <v>13.23</v>
      </c>
      <c r="W15" s="149">
        <v>-0.45</v>
      </c>
      <c r="X15" s="128">
        <f t="shared" si="4"/>
        <v>12.780000000000001</v>
      </c>
      <c r="Y15" s="126" t="str">
        <f t="shared" si="2"/>
        <v>June</v>
      </c>
      <c r="Z15" s="127" t="str">
        <f>VLOOKUP(Y15,Misc!$M$2:$N$13,2,FALSE)</f>
        <v>July</v>
      </c>
      <c r="AA15" s="149">
        <v>8.2899999999999991</v>
      </c>
      <c r="AB15" s="149">
        <v>-0.55000000000000004</v>
      </c>
      <c r="AC15" s="128">
        <f t="shared" si="5"/>
        <v>7.7399999999999993</v>
      </c>
    </row>
    <row r="16" spans="1:29" x14ac:dyDescent="0.2">
      <c r="A16" s="2">
        <v>11</v>
      </c>
      <c r="B16" s="50"/>
      <c r="C16" s="124" t="str">
        <f>VLOOKUP(Misc!E12,Misc!$A$2:$B$13,2,FALSE)</f>
        <v>August</v>
      </c>
      <c r="D16" s="152">
        <f>IF(Example!$D$22,Example!$D$22,'Cost by Month'!$A16*Example!$D$23)+Example!$D$14*Example!$D$15*'Cost by Month'!$A16/12+(Example!$D$45*0.5)+(Example!$D$45*'Cost by Month'!$A15/12)+SUM(Example!$D$42:$D$46)-Example!$D$45</f>
        <v>0.45504</v>
      </c>
      <c r="E16" s="152">
        <f>Example!E$14*Example!E$15*'Cost by Month'!$A16/12+SUM(Example!E$42:E$46)+IF(('Cost by Month'!$A16-Example!E$19&lt;0),Example!E$18,Example!E$18+('Cost by Month'!$A16-Example!E$19)*Example!E$20)</f>
        <v>0.86959999999999993</v>
      </c>
      <c r="F16" s="78"/>
      <c r="G16" s="125" t="str">
        <f>VLOOKUP(Misc!F12,Misc!$A$2:$B$13,2,FALSE)</f>
        <v>August</v>
      </c>
      <c r="H16" s="152">
        <f>IF(Example!$G$22,Example!$G$22,'Cost by Month'!$A16*Example!$G$23)+(Example!$G$14*Example!$G$15*'Cost by Month'!$A16/12)+(Example!$G$45*0.5)+(Example!$G$45*'Cost by Month'!$A15/12)+SUM(Example!$G$42:$G$46)-Example!$G$45</f>
        <v>1.0697493333333332</v>
      </c>
      <c r="I16" s="152">
        <f>Example!H$14*Example!H$15*'Cost by Month'!$A16/12+SUM(Example!H$42:H$46)+IF(('Cost by Month'!$A16-Example!H$19&lt;0),Example!H$18,Example!H$18+('Cost by Month'!$A16-Example!H$19)*Example!H$20)</f>
        <v>1.7145333333333332</v>
      </c>
      <c r="J16" s="2"/>
      <c r="K16" s="125" t="str">
        <f>VLOOKUP(Misc!G12,Misc!$A$2:$B$13,2,FALSE)</f>
        <v>July</v>
      </c>
      <c r="L16" s="152">
        <f>IF(Example!$J$22,Example!$J$22,'Cost by Month'!$A16*Example!$J$23)+Example!$J$14*Example!$J$15*'Cost by Month'!$A16/12+(Example!$J$45*0.5)+(Example!$J$45*'Cost by Month'!$A15/12)+SUM(Example!$J$42:$J$46)-Example!$J$45</f>
        <v>0.679288</v>
      </c>
      <c r="M16" s="154">
        <f>Example!K$14*Example!K$15*'Cost by Month'!$A16/12+SUM(Example!K$42:K$46)+IF(('Cost by Month'!$A16-Example!K$19&lt;0),Example!K$18,Example!K$18+('Cost by Month'!$A16-Example!K$19)*Example!K$20)</f>
        <v>1.0764</v>
      </c>
      <c r="N16" s="2"/>
      <c r="O16" s="126" t="str">
        <f t="shared" si="0"/>
        <v>August</v>
      </c>
      <c r="P16" s="127" t="str">
        <f>VLOOKUP(O16,Misc!$I$2:$J$13,2,FALSE)</f>
        <v>September</v>
      </c>
      <c r="Q16" s="149">
        <v>5.49</v>
      </c>
      <c r="R16" s="149">
        <v>-0.4</v>
      </c>
      <c r="S16" s="128">
        <f t="shared" si="3"/>
        <v>5.09</v>
      </c>
      <c r="T16" s="126" t="str">
        <f t="shared" si="1"/>
        <v>August</v>
      </c>
      <c r="U16" s="127" t="str">
        <f>VLOOKUP(T16,Misc!$K$2:$L$13,2,FALSE)</f>
        <v>September</v>
      </c>
      <c r="V16" s="149">
        <v>12.94</v>
      </c>
      <c r="W16" s="149">
        <v>-0.45</v>
      </c>
      <c r="X16" s="128">
        <f t="shared" si="4"/>
        <v>12.49</v>
      </c>
      <c r="Y16" s="126" t="str">
        <f t="shared" si="2"/>
        <v>July</v>
      </c>
      <c r="Z16" s="127" t="str">
        <f>VLOOKUP(Y16,Misc!$M$2:$N$13,2,FALSE)</f>
        <v>September</v>
      </c>
      <c r="AA16" s="149">
        <v>7.79</v>
      </c>
      <c r="AB16" s="149">
        <v>-0.55000000000000004</v>
      </c>
      <c r="AC16" s="128">
        <f t="shared" si="5"/>
        <v>7.24</v>
      </c>
    </row>
    <row r="17" spans="1:29" ht="13.5" thickBot="1" x14ac:dyDescent="0.25">
      <c r="A17" s="2">
        <v>12</v>
      </c>
      <c r="B17" s="131"/>
      <c r="C17" s="132" t="str">
        <f>VLOOKUP(Misc!E13,Misc!$A$2:$B$13,2,FALSE)</f>
        <v>September</v>
      </c>
      <c r="D17" s="153">
        <f>IF(Example!$D$22,Example!$D$22,'Cost by Month'!$A17*Example!$D$23)+Example!$D$14*Example!$D$15*'Cost by Month'!$A17/12+(Example!$D$45*0.5)+(Example!$D$45*'Cost by Month'!$A16/12)+SUM(Example!$D$42:$D$46)-Example!$D$45</f>
        <v>0.48921749999999997</v>
      </c>
      <c r="E17" s="153">
        <f>Example!E$14*Example!E$15*'Cost by Month'!$A17/12+SUM(Example!E$42:E$46)+IF(('Cost by Month'!$A17-Example!E$19&lt;0),Example!E$18,Example!E$18+('Cost by Month'!$A17-Example!E$19)*Example!E$20)</f>
        <v>0.95320000000000005</v>
      </c>
      <c r="F17" s="133"/>
      <c r="G17" s="134" t="str">
        <f>VLOOKUP(Misc!F13,Misc!$A$2:$B$13,2,FALSE)</f>
        <v>September</v>
      </c>
      <c r="H17" s="153">
        <f>IF(Example!$G$22,Example!$G$22,'Cost by Month'!$A17*Example!$G$23)+(Example!$G$14*Example!$G$15*'Cost by Month'!$A17/12)+(Example!$G$45*0.5)+(Example!$G$45*'Cost by Month'!$A16/12)+SUM(Example!$G$42:$G$46)-Example!$G$45</f>
        <v>1.15613575</v>
      </c>
      <c r="I17" s="153">
        <f>Example!H$14*Example!H$15*'Cost by Month'!$A17/12+SUM(Example!H$42:H$46)+IF(('Cost by Month'!$A17-Example!H$19&lt;0),Example!H$18,Example!H$18+('Cost by Month'!$A17-Example!H$19)*Example!H$20)</f>
        <v>1.8704000000000001</v>
      </c>
      <c r="J17" s="135"/>
      <c r="K17" s="134" t="str">
        <f>VLOOKUP(Misc!G13,Misc!$A$2:$B$13,2,FALSE)</f>
        <v>August</v>
      </c>
      <c r="L17" s="153">
        <f>IF(Example!$J$22,Example!$J$22,'Cost by Month'!$A17*Example!$J$23)+Example!$J$14*Example!$J$15*'Cost by Month'!$A17/12+(Example!$J$45*0.5)+(Example!$J$45*'Cost by Month'!$A16/12)+SUM(Example!$J$42:$J$46)-Example!$J$45</f>
        <v>0.73238100000000006</v>
      </c>
      <c r="M17" s="155">
        <f>Example!K$14*Example!K$15*'Cost by Month'!$A17/12+SUM(Example!K$42:K$46)+IF(('Cost by Month'!$A17-Example!K$19&lt;0),Example!K$18,Example!K$18+('Cost by Month'!$A17-Example!K$19)*Example!K$20)</f>
        <v>1.1788000000000001</v>
      </c>
      <c r="N17" s="2"/>
      <c r="O17" s="136" t="str">
        <f t="shared" si="0"/>
        <v>September</v>
      </c>
      <c r="P17" s="137" t="str">
        <f>VLOOKUP(O17,Misc!$I$2:$J$13,2,FALSE)</f>
        <v>December</v>
      </c>
      <c r="Q17" s="151">
        <v>5.38</v>
      </c>
      <c r="R17" s="151">
        <v>-0.5</v>
      </c>
      <c r="S17" s="138">
        <f t="shared" si="3"/>
        <v>4.88</v>
      </c>
      <c r="T17" s="136" t="str">
        <f t="shared" si="1"/>
        <v>September</v>
      </c>
      <c r="U17" s="139" t="str">
        <f>VLOOKUP(T17,Misc!$K$2:$L$13,2,FALSE)</f>
        <v>November</v>
      </c>
      <c r="V17" s="151">
        <v>13.23</v>
      </c>
      <c r="W17" s="151">
        <v>-0.55000000000000004</v>
      </c>
      <c r="X17" s="138">
        <f t="shared" si="4"/>
        <v>12.68</v>
      </c>
      <c r="Y17" s="136" t="str">
        <f t="shared" si="2"/>
        <v>August</v>
      </c>
      <c r="Z17" s="139" t="str">
        <f>VLOOKUP(Y17,Misc!$M$2:$N$13,2,FALSE)</f>
        <v>September</v>
      </c>
      <c r="AA17" s="151">
        <v>7.79</v>
      </c>
      <c r="AB17" s="151">
        <v>-0.65</v>
      </c>
      <c r="AC17" s="138">
        <f t="shared" si="5"/>
        <v>7.14</v>
      </c>
    </row>
    <row r="18" spans="1:29" x14ac:dyDescent="0.2">
      <c r="A18" s="2"/>
      <c r="B18" s="2"/>
      <c r="C18" s="124"/>
      <c r="D18" s="140"/>
      <c r="E18" s="140"/>
      <c r="F18" s="78"/>
      <c r="G18" s="125"/>
      <c r="H18" s="140"/>
      <c r="I18" s="140"/>
      <c r="J18" s="2"/>
      <c r="K18" s="125"/>
      <c r="L18" s="140"/>
      <c r="M18" s="140"/>
      <c r="N18" s="2"/>
      <c r="O18" s="141"/>
      <c r="P18" s="127"/>
      <c r="Q18" s="142"/>
      <c r="R18" s="142"/>
      <c r="S18" s="142"/>
      <c r="T18" s="141"/>
      <c r="U18" s="127"/>
      <c r="V18" s="142"/>
      <c r="W18" s="142"/>
      <c r="X18" s="142"/>
      <c r="Y18" s="141"/>
      <c r="Z18" s="127"/>
      <c r="AA18" s="142"/>
      <c r="AB18" s="142"/>
      <c r="AC18" s="142"/>
    </row>
    <row r="19" spans="1:29" ht="13.5" thickBot="1" x14ac:dyDescent="0.25"/>
    <row r="20" spans="1:29" x14ac:dyDescent="0.2">
      <c r="B20" s="115"/>
      <c r="C20" s="172" t="s">
        <v>73</v>
      </c>
      <c r="D20" s="172"/>
      <c r="E20" s="172"/>
      <c r="F20" s="172"/>
      <c r="G20" s="172"/>
      <c r="H20" s="172"/>
      <c r="I20" s="172"/>
      <c r="J20" s="172"/>
      <c r="K20" s="172"/>
      <c r="L20" s="172"/>
      <c r="M20" s="173"/>
      <c r="Q20" s="143"/>
    </row>
    <row r="21" spans="1:29" ht="13.5" thickBot="1" x14ac:dyDescent="0.25">
      <c r="B21" s="116"/>
      <c r="D21" s="164" t="str">
        <f>Example!D10</f>
        <v>Corn</v>
      </c>
      <c r="E21" s="164"/>
      <c r="F21" s="3"/>
      <c r="G21" s="3"/>
      <c r="H21" s="164" t="str">
        <f>Example!G10</f>
        <v>Soybean</v>
      </c>
      <c r="I21" s="164"/>
      <c r="J21" s="2"/>
      <c r="K21" s="2"/>
      <c r="L21" s="164" t="str">
        <f>Example!J10</f>
        <v>Spring Wheat</v>
      </c>
      <c r="M21" s="165"/>
    </row>
    <row r="22" spans="1:29" x14ac:dyDescent="0.2">
      <c r="B22" s="116"/>
      <c r="D22" s="1" t="s">
        <v>76</v>
      </c>
      <c r="E22" s="156">
        <f>Example!D14</f>
        <v>5.04</v>
      </c>
      <c r="F22" s="3"/>
      <c r="G22" s="3"/>
      <c r="H22" s="1" t="s">
        <v>76</v>
      </c>
      <c r="I22" s="156">
        <f>Example!G14</f>
        <v>12.88</v>
      </c>
      <c r="J22" s="2"/>
      <c r="K22" s="2"/>
      <c r="L22" s="24" t="s">
        <v>75</v>
      </c>
      <c r="M22" s="157">
        <f>Example!J14</f>
        <v>7.86</v>
      </c>
    </row>
    <row r="23" spans="1:29" x14ac:dyDescent="0.2">
      <c r="B23" s="116"/>
      <c r="C23" s="121" t="s">
        <v>15</v>
      </c>
      <c r="D23" s="122" t="s">
        <v>6</v>
      </c>
      <c r="E23" s="122" t="s">
        <v>5</v>
      </c>
      <c r="F23" s="122"/>
      <c r="G23" s="121" t="s">
        <v>15</v>
      </c>
      <c r="H23" s="122" t="s">
        <v>6</v>
      </c>
      <c r="I23" s="122" t="s">
        <v>5</v>
      </c>
      <c r="J23" s="2"/>
      <c r="K23" s="121" t="s">
        <v>15</v>
      </c>
      <c r="L23" s="122" t="s">
        <v>6</v>
      </c>
      <c r="M23" s="123" t="s">
        <v>5</v>
      </c>
    </row>
    <row r="24" spans="1:29" x14ac:dyDescent="0.2">
      <c r="B24" s="50"/>
      <c r="C24" s="124" t="str">
        <f>C6</f>
        <v>October</v>
      </c>
      <c r="D24" s="144">
        <f>IF(OR(Q6=0,R6=0),"",S6-D6)</f>
        <v>4.9567350000000001</v>
      </c>
      <c r="E24" s="144">
        <f>IF(OR(Q6=0,R6=0),"",S6-E6)</f>
        <v>5.0364000000000004</v>
      </c>
      <c r="F24" s="78"/>
      <c r="G24" s="125" t="str">
        <f>G6</f>
        <v>October</v>
      </c>
      <c r="H24" s="144">
        <f>IF(OR(V6=0,W6=0),"",X6-H6)</f>
        <v>12.674114833333332</v>
      </c>
      <c r="I24" s="144">
        <f>IF(OR(V6=0,W6=0),"",X6-I6)</f>
        <v>12.724133333333333</v>
      </c>
      <c r="J24" s="2"/>
      <c r="K24" s="125" t="str">
        <f>K6</f>
        <v>September</v>
      </c>
      <c r="L24" s="144">
        <f>IF(OR(AA6=0,AB6=0),"",AC6-L6)</f>
        <v>7.7316420000000008</v>
      </c>
      <c r="M24" s="145">
        <f>IF(OR(AA6=0,AB6=0),"",AC6-M6)</f>
        <v>7.8276000000000003</v>
      </c>
    </row>
    <row r="25" spans="1:29" x14ac:dyDescent="0.2">
      <c r="B25" s="130"/>
      <c r="C25" s="124" t="str">
        <f t="shared" ref="C25:C35" si="6">C7</f>
        <v>November</v>
      </c>
      <c r="D25" s="144">
        <f t="shared" ref="D25:D34" si="7">IF(OR(Q7=0,R7=0),"",S7-D7)</f>
        <v>4.9225574999999999</v>
      </c>
      <c r="E25" s="144">
        <f t="shared" ref="E25:E35" si="8">IF(OR(Q7=0,R7=0),"",S7-E7)</f>
        <v>4.9527999999999999</v>
      </c>
      <c r="F25" s="78"/>
      <c r="G25" s="125" t="str">
        <f t="shared" ref="G25:G35" si="9">G7</f>
        <v>November</v>
      </c>
      <c r="H25" s="144">
        <f t="shared" ref="H25:H35" si="10">IF(OR(V7=0,W7=0),"",X7-H7)</f>
        <v>12.627728416666667</v>
      </c>
      <c r="I25" s="144">
        <f t="shared" ref="I25:I35" si="11">IF(OR(V7=0,W7=0),"",X7-I7)</f>
        <v>12.608266666666667</v>
      </c>
      <c r="J25" s="2"/>
      <c r="K25" s="125" t="str">
        <f t="shared" ref="K25:K35" si="12">K7</f>
        <v>October</v>
      </c>
      <c r="L25" s="144">
        <f t="shared" ref="L25:L35" si="13">IF(OR(AA7=0,AB7=0),"",AC7-L7)</f>
        <v>7.5785490000000006</v>
      </c>
      <c r="M25" s="145">
        <f t="shared" ref="M25:M35" si="14">IF(OR(AA7=0,AB7=0),"",AC7-M7)</f>
        <v>7.6252000000000004</v>
      </c>
    </row>
    <row r="26" spans="1:29" x14ac:dyDescent="0.2">
      <c r="B26" s="50"/>
      <c r="C26" s="124" t="str">
        <f t="shared" si="6"/>
        <v>December</v>
      </c>
      <c r="D26" s="144">
        <f t="shared" si="7"/>
        <v>5.0783800000000001</v>
      </c>
      <c r="E26" s="144">
        <f t="shared" si="8"/>
        <v>5.0591999999999997</v>
      </c>
      <c r="F26" s="78"/>
      <c r="G26" s="125" t="str">
        <f t="shared" si="9"/>
        <v>December</v>
      </c>
      <c r="H26" s="144">
        <f t="shared" si="10"/>
        <v>12.591342000000001</v>
      </c>
      <c r="I26" s="144">
        <f t="shared" si="11"/>
        <v>12.502400000000002</v>
      </c>
      <c r="J26" s="2"/>
      <c r="K26" s="125" t="str">
        <f t="shared" si="12"/>
        <v>November</v>
      </c>
      <c r="L26" s="144">
        <f t="shared" si="13"/>
        <v>7.5254560000000001</v>
      </c>
      <c r="M26" s="145">
        <f t="shared" si="14"/>
        <v>7.5228000000000002</v>
      </c>
    </row>
    <row r="27" spans="1:29" x14ac:dyDescent="0.2">
      <c r="B27" s="50"/>
      <c r="C27" s="124" t="str">
        <f t="shared" si="6"/>
        <v>January</v>
      </c>
      <c r="D27" s="144">
        <f t="shared" si="7"/>
        <v>4.9442025000000003</v>
      </c>
      <c r="E27" s="144">
        <f t="shared" si="8"/>
        <v>4.8756000000000004</v>
      </c>
      <c r="F27" s="78"/>
      <c r="G27" s="125" t="str">
        <f t="shared" si="9"/>
        <v>January</v>
      </c>
      <c r="H27" s="144">
        <f t="shared" si="10"/>
        <v>12.434955583333334</v>
      </c>
      <c r="I27" s="144">
        <f t="shared" si="11"/>
        <v>12.276533333333333</v>
      </c>
      <c r="J27" s="2"/>
      <c r="K27" s="125" t="str">
        <f t="shared" si="12"/>
        <v>December</v>
      </c>
      <c r="L27" s="144">
        <f t="shared" si="13"/>
        <v>7.6223630000000009</v>
      </c>
      <c r="M27" s="145">
        <f t="shared" si="14"/>
        <v>7.5704000000000002</v>
      </c>
    </row>
    <row r="28" spans="1:29" x14ac:dyDescent="0.2">
      <c r="B28" s="50"/>
      <c r="C28" s="124" t="str">
        <f t="shared" si="6"/>
        <v>February</v>
      </c>
      <c r="D28" s="144">
        <f t="shared" si="7"/>
        <v>4.9600249999999999</v>
      </c>
      <c r="E28" s="144">
        <f t="shared" si="8"/>
        <v>4.8419999999999996</v>
      </c>
      <c r="F28" s="78"/>
      <c r="G28" s="125" t="str">
        <f t="shared" si="9"/>
        <v>February</v>
      </c>
      <c r="H28" s="144">
        <f t="shared" si="10"/>
        <v>12.398569166666668</v>
      </c>
      <c r="I28" s="144">
        <f t="shared" si="11"/>
        <v>12.170666666666667</v>
      </c>
      <c r="J28" s="2"/>
      <c r="K28" s="125" t="str">
        <f t="shared" si="12"/>
        <v>January</v>
      </c>
      <c r="L28" s="144">
        <f t="shared" si="13"/>
        <v>7.5192700000000006</v>
      </c>
      <c r="M28" s="145">
        <f t="shared" si="14"/>
        <v>7.418000000000001</v>
      </c>
    </row>
    <row r="29" spans="1:29" x14ac:dyDescent="0.2">
      <c r="B29" s="50"/>
      <c r="C29" s="124" t="str">
        <f t="shared" si="6"/>
        <v>March</v>
      </c>
      <c r="D29" s="144">
        <f t="shared" si="7"/>
        <v>5.0258474999999994</v>
      </c>
      <c r="E29" s="144">
        <f t="shared" si="8"/>
        <v>4.8583999999999996</v>
      </c>
      <c r="F29" s="78"/>
      <c r="G29" s="125" t="str">
        <f t="shared" si="9"/>
        <v>March</v>
      </c>
      <c r="H29" s="144">
        <f t="shared" si="10"/>
        <v>12.262182750000001</v>
      </c>
      <c r="I29" s="144">
        <f t="shared" si="11"/>
        <v>11.9648</v>
      </c>
      <c r="J29" s="2"/>
      <c r="K29" s="125" t="str">
        <f t="shared" si="12"/>
        <v>February</v>
      </c>
      <c r="L29" s="144">
        <f t="shared" si="13"/>
        <v>7.466177000000001</v>
      </c>
      <c r="M29" s="145">
        <f t="shared" si="14"/>
        <v>7.3156000000000008</v>
      </c>
    </row>
    <row r="30" spans="1:29" x14ac:dyDescent="0.2">
      <c r="B30" s="50"/>
      <c r="C30" s="124" t="str">
        <f t="shared" si="6"/>
        <v>April</v>
      </c>
      <c r="D30" s="144">
        <f t="shared" si="7"/>
        <v>4.9916699999999992</v>
      </c>
      <c r="E30" s="144">
        <f t="shared" si="8"/>
        <v>4.7747999999999999</v>
      </c>
      <c r="F30" s="78"/>
      <c r="G30" s="125" t="str">
        <f t="shared" si="9"/>
        <v>April</v>
      </c>
      <c r="H30" s="144">
        <f t="shared" si="10"/>
        <v>12.225796333333333</v>
      </c>
      <c r="I30" s="144">
        <f t="shared" si="11"/>
        <v>11.858933333333333</v>
      </c>
      <c r="J30" s="2"/>
      <c r="K30" s="125" t="str">
        <f t="shared" si="12"/>
        <v>March</v>
      </c>
      <c r="L30" s="144">
        <f t="shared" si="13"/>
        <v>7.3430839999999993</v>
      </c>
      <c r="M30" s="145">
        <f t="shared" si="14"/>
        <v>7.1431999999999993</v>
      </c>
    </row>
    <row r="31" spans="1:29" x14ac:dyDescent="0.2">
      <c r="B31" s="50"/>
      <c r="C31" s="124" t="str">
        <f t="shared" si="6"/>
        <v>May</v>
      </c>
      <c r="D31" s="144">
        <f t="shared" si="7"/>
        <v>5.0174924999999995</v>
      </c>
      <c r="E31" s="144">
        <f t="shared" si="8"/>
        <v>4.751199999999999</v>
      </c>
      <c r="F31" s="78"/>
      <c r="G31" s="125" t="str">
        <f t="shared" si="9"/>
        <v>May</v>
      </c>
      <c r="H31" s="144">
        <f t="shared" si="10"/>
        <v>12.269409916666667</v>
      </c>
      <c r="I31" s="144">
        <f t="shared" si="11"/>
        <v>11.833066666666667</v>
      </c>
      <c r="J31" s="2"/>
      <c r="K31" s="125" t="str">
        <f t="shared" si="12"/>
        <v>April</v>
      </c>
      <c r="L31" s="144">
        <f t="shared" si="13"/>
        <v>7.2899909999999997</v>
      </c>
      <c r="M31" s="145">
        <f t="shared" si="14"/>
        <v>7.0407999999999991</v>
      </c>
    </row>
    <row r="32" spans="1:29" x14ac:dyDescent="0.2">
      <c r="B32" s="50"/>
      <c r="C32" s="124" t="str">
        <f t="shared" si="6"/>
        <v>June</v>
      </c>
      <c r="D32" s="144">
        <f t="shared" si="7"/>
        <v>5.033315</v>
      </c>
      <c r="E32" s="144">
        <f t="shared" si="8"/>
        <v>4.7176</v>
      </c>
      <c r="F32" s="78"/>
      <c r="G32" s="125" t="str">
        <f t="shared" si="9"/>
        <v>June</v>
      </c>
      <c r="H32" s="144">
        <f t="shared" si="10"/>
        <v>12.083023499999999</v>
      </c>
      <c r="I32" s="144">
        <f t="shared" si="11"/>
        <v>11.577200000000001</v>
      </c>
      <c r="J32" s="2"/>
      <c r="K32" s="125" t="str">
        <f t="shared" si="12"/>
        <v>May</v>
      </c>
      <c r="L32" s="144">
        <f t="shared" si="13"/>
        <v>7.2168979999999987</v>
      </c>
      <c r="M32" s="145">
        <f t="shared" si="14"/>
        <v>6.9183999999999992</v>
      </c>
    </row>
    <row r="33" spans="2:13" x14ac:dyDescent="0.2">
      <c r="B33" s="50"/>
      <c r="C33" s="124" t="str">
        <f t="shared" si="6"/>
        <v>July</v>
      </c>
      <c r="D33" s="144">
        <f t="shared" si="7"/>
        <v>4.7691375000000003</v>
      </c>
      <c r="E33" s="144">
        <f t="shared" si="8"/>
        <v>4.4039999999999999</v>
      </c>
      <c r="F33" s="78"/>
      <c r="G33" s="125" t="str">
        <f t="shared" si="9"/>
        <v>July</v>
      </c>
      <c r="H33" s="144">
        <f t="shared" si="10"/>
        <v>11.796637083333334</v>
      </c>
      <c r="I33" s="144">
        <f t="shared" si="11"/>
        <v>11.221333333333334</v>
      </c>
      <c r="J33" s="2"/>
      <c r="K33" s="125" t="str">
        <f t="shared" si="12"/>
        <v>June</v>
      </c>
      <c r="L33" s="144">
        <f t="shared" si="13"/>
        <v>7.1138049999999993</v>
      </c>
      <c r="M33" s="145">
        <f t="shared" si="14"/>
        <v>6.7659999999999991</v>
      </c>
    </row>
    <row r="34" spans="2:13" x14ac:dyDescent="0.2">
      <c r="B34" s="50"/>
      <c r="C34" s="124" t="str">
        <f t="shared" si="6"/>
        <v>August</v>
      </c>
      <c r="D34" s="144">
        <f t="shared" si="7"/>
        <v>4.6349599999999995</v>
      </c>
      <c r="E34" s="144">
        <f t="shared" si="8"/>
        <v>4.2203999999999997</v>
      </c>
      <c r="F34" s="78"/>
      <c r="G34" s="125" t="str">
        <f t="shared" si="9"/>
        <v>August</v>
      </c>
      <c r="H34" s="144">
        <f t="shared" si="10"/>
        <v>11.420250666666668</v>
      </c>
      <c r="I34" s="144">
        <f t="shared" si="11"/>
        <v>10.775466666666667</v>
      </c>
      <c r="J34" s="2"/>
      <c r="K34" s="125" t="str">
        <f t="shared" si="12"/>
        <v>July</v>
      </c>
      <c r="L34" s="144">
        <f t="shared" si="13"/>
        <v>6.5607120000000005</v>
      </c>
      <c r="M34" s="145">
        <f t="shared" si="14"/>
        <v>6.1636000000000006</v>
      </c>
    </row>
    <row r="35" spans="2:13" ht="13.5" thickBot="1" x14ac:dyDescent="0.25">
      <c r="B35" s="131"/>
      <c r="C35" s="132" t="str">
        <f t="shared" si="6"/>
        <v>September</v>
      </c>
      <c r="D35" s="146">
        <f>IF(OR(Q17=0,R17=0),"",S17-D17)</f>
        <v>4.3907825000000003</v>
      </c>
      <c r="E35" s="146">
        <f t="shared" si="8"/>
        <v>3.9268000000000001</v>
      </c>
      <c r="F35" s="133"/>
      <c r="G35" s="134" t="str">
        <f t="shared" si="9"/>
        <v>September</v>
      </c>
      <c r="H35" s="146">
        <f t="shared" si="10"/>
        <v>11.523864249999999</v>
      </c>
      <c r="I35" s="146">
        <f t="shared" si="11"/>
        <v>10.8096</v>
      </c>
      <c r="J35" s="135"/>
      <c r="K35" s="134" t="str">
        <f t="shared" si="12"/>
        <v>August</v>
      </c>
      <c r="L35" s="146">
        <f t="shared" si="13"/>
        <v>6.4076189999999995</v>
      </c>
      <c r="M35" s="147">
        <f t="shared" si="14"/>
        <v>5.9611999999999998</v>
      </c>
    </row>
  </sheetData>
  <mergeCells count="23">
    <mergeCell ref="V3:V5"/>
    <mergeCell ref="W3:W5"/>
    <mergeCell ref="X3:X5"/>
    <mergeCell ref="S3:S5"/>
    <mergeCell ref="P3:P5"/>
    <mergeCell ref="Q3:Q5"/>
    <mergeCell ref="R3:R5"/>
    <mergeCell ref="D21:E21"/>
    <mergeCell ref="H21:I21"/>
    <mergeCell ref="L21:M21"/>
    <mergeCell ref="Y2:AC2"/>
    <mergeCell ref="Y3:Y5"/>
    <mergeCell ref="Z3:Z5"/>
    <mergeCell ref="AA3:AA5"/>
    <mergeCell ref="AB3:AB5"/>
    <mergeCell ref="AC3:AC5"/>
    <mergeCell ref="C20:M20"/>
    <mergeCell ref="C2:M2"/>
    <mergeCell ref="O3:O5"/>
    <mergeCell ref="O2:S2"/>
    <mergeCell ref="T2:X2"/>
    <mergeCell ref="T3:T5"/>
    <mergeCell ref="U3:U5"/>
  </mergeCells>
  <conditionalFormatting sqref="D24:E35">
    <cfRule type="colorScale" priority="1">
      <colorScale>
        <cfvo type="min"/>
        <cfvo type="max"/>
        <color theme="9" tint="-0.499984740745262"/>
        <color rgb="FFFFEF9C"/>
      </colorScale>
    </cfRule>
    <cfRule type="colorScale" priority="9">
      <colorScale>
        <cfvo type="min"/>
        <cfvo type="max"/>
        <color rgb="FFFF7128"/>
        <color rgb="FFFFEF9C"/>
      </colorScale>
    </cfRule>
    <cfRule type="colorScale" priority="10">
      <colorScale>
        <cfvo type="min"/>
        <cfvo type="max"/>
        <color theme="9" tint="0.59999389629810485"/>
        <color theme="9" tint="-0.249977111117893"/>
      </colorScale>
    </cfRule>
    <cfRule type="colorScale" priority="11">
      <colorScale>
        <cfvo type="min"/>
        <cfvo type="max"/>
        <color theme="9" tint="0.59999389629810485"/>
        <color rgb="FF006633"/>
      </colorScale>
    </cfRule>
    <cfRule type="colorScale" priority="12">
      <colorScale>
        <cfvo type="min"/>
        <cfvo type="max"/>
        <color rgb="FFFF7128"/>
        <color rgb="FFFFEF9C"/>
      </colorScale>
    </cfRule>
  </conditionalFormatting>
  <conditionalFormatting sqref="H24:I35">
    <cfRule type="colorScale" priority="2">
      <colorScale>
        <cfvo type="min"/>
        <cfvo type="max"/>
        <color theme="9" tint="-0.499984740745262"/>
        <color rgb="FFFFEF9C"/>
      </colorScale>
    </cfRule>
    <cfRule type="colorScale" priority="8">
      <colorScale>
        <cfvo type="min"/>
        <cfvo type="max"/>
        <color rgb="FFFF7128"/>
        <color rgb="FFFFEF9C"/>
      </colorScale>
    </cfRule>
  </conditionalFormatting>
  <conditionalFormatting sqref="L24:M35">
    <cfRule type="colorScale" priority="3">
      <colorScale>
        <cfvo type="min"/>
        <cfvo type="max"/>
        <color theme="9" tint="-0.499984740745262"/>
        <color rgb="FFFFEF9C"/>
      </colorScale>
    </cfRule>
    <cfRule type="colorScale" priority="4">
      <colorScale>
        <cfvo type="min"/>
        <cfvo type="max"/>
        <color rgb="FFFF7128"/>
        <color rgb="FFFFEF9C"/>
      </colorScale>
    </cfRule>
    <cfRule type="colorScale" priority="5">
      <colorScale>
        <cfvo type="min"/>
        <cfvo type="max"/>
        <color rgb="FFFF7128"/>
        <color rgb="FFFFC000"/>
      </colorScale>
    </cfRule>
    <cfRule type="colorScale" priority="6">
      <colorScale>
        <cfvo type="min"/>
        <cfvo type="max"/>
        <color rgb="FFFF7128"/>
        <color rgb="FFFFFF00"/>
      </colorScale>
    </cfRule>
    <cfRule type="colorScale" priority="7">
      <colorScale>
        <cfvo type="min"/>
        <cfvo type="max"/>
        <color rgb="FFFF7128"/>
        <color rgb="FFFFEF9C"/>
      </colorScale>
    </cfRule>
  </conditionalFormatting>
  <dataValidations count="1">
    <dataValidation type="list" allowBlank="1" sqref="D4:E4 H4:I4 L4:M4" xr:uid="{00000000-0002-0000-0100-000000000000}">
      <formula1>Months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24" sqref="C24"/>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
  <sheetViews>
    <sheetView workbookViewId="0">
      <selection activeCell="G9" sqref="G9"/>
    </sheetView>
  </sheetViews>
  <sheetFormatPr defaultRowHeight="12.75" x14ac:dyDescent="0.2"/>
  <cols>
    <col min="2" max="2" width="10" bestFit="1" customWidth="1"/>
    <col min="7" max="7" width="12.28515625" bestFit="1" customWidth="1"/>
    <col min="10" max="10" width="10" bestFit="1" customWidth="1"/>
  </cols>
  <sheetData>
    <row r="1" spans="1:14" x14ac:dyDescent="0.2">
      <c r="E1" s="24" t="str">
        <f>Example!D10</f>
        <v>Corn</v>
      </c>
      <c r="F1" s="24" t="str">
        <f>Example!G10</f>
        <v>Soybean</v>
      </c>
      <c r="G1" s="24" t="str">
        <f>Example!J10</f>
        <v>Spring Wheat</v>
      </c>
      <c r="I1" s="174" t="str">
        <f>Example!D10</f>
        <v>Corn</v>
      </c>
      <c r="J1" s="174"/>
      <c r="K1" s="174" t="str">
        <f>Example!G10</f>
        <v>Soybean</v>
      </c>
      <c r="L1" s="174"/>
      <c r="M1" s="174" t="str">
        <f>Example!J10</f>
        <v>Spring Wheat</v>
      </c>
      <c r="N1" s="174"/>
    </row>
    <row r="2" spans="1:14" x14ac:dyDescent="0.2">
      <c r="A2" s="90">
        <v>1</v>
      </c>
      <c r="B2" s="24" t="s">
        <v>42</v>
      </c>
      <c r="C2" s="90">
        <v>1</v>
      </c>
      <c r="E2" s="90">
        <f>VLOOKUP('Cost by Month'!D4,Misc!B2:C13,2,FALSE)</f>
        <v>10</v>
      </c>
      <c r="F2" s="90">
        <f>VLOOKUP('Cost by Month'!H4,Misc!B2:C13,2,FALSE)</f>
        <v>10</v>
      </c>
      <c r="G2" s="90">
        <f>VLOOKUP('Cost by Month'!L4,Misc!B2:C13,2,FALSE)</f>
        <v>9</v>
      </c>
      <c r="I2" s="24" t="s">
        <v>42</v>
      </c>
      <c r="J2" s="24" t="s">
        <v>44</v>
      </c>
      <c r="K2" s="24" t="s">
        <v>42</v>
      </c>
      <c r="L2" s="24" t="s">
        <v>44</v>
      </c>
      <c r="M2" s="24" t="s">
        <v>42</v>
      </c>
      <c r="N2" s="24" t="s">
        <v>44</v>
      </c>
    </row>
    <row r="3" spans="1:14" x14ac:dyDescent="0.2">
      <c r="A3" s="90">
        <v>2</v>
      </c>
      <c r="B3" s="24" t="s">
        <v>43</v>
      </c>
      <c r="C3" s="90">
        <v>2</v>
      </c>
      <c r="E3" s="90">
        <f>IF(E2&lt;12,E2+1,1)</f>
        <v>11</v>
      </c>
      <c r="F3" s="90">
        <f>IF(F2&lt;12,F2+1,1)</f>
        <v>11</v>
      </c>
      <c r="G3" s="90">
        <f>IF(G2&lt;12,G2+1,1)</f>
        <v>10</v>
      </c>
      <c r="I3" s="24" t="s">
        <v>43</v>
      </c>
      <c r="J3" s="24" t="s">
        <v>44</v>
      </c>
      <c r="K3" s="24" t="s">
        <v>43</v>
      </c>
      <c r="L3" s="24" t="s">
        <v>44</v>
      </c>
      <c r="M3" s="24" t="s">
        <v>43</v>
      </c>
      <c r="N3" s="24" t="s">
        <v>44</v>
      </c>
    </row>
    <row r="4" spans="1:14" x14ac:dyDescent="0.2">
      <c r="A4" s="90">
        <v>3</v>
      </c>
      <c r="B4" s="24" t="s">
        <v>44</v>
      </c>
      <c r="C4" s="90">
        <v>3</v>
      </c>
      <c r="E4" s="90">
        <f t="shared" ref="E4:E13" si="0">IF(E3&lt;12,E3+1,1)</f>
        <v>12</v>
      </c>
      <c r="F4" s="90">
        <f t="shared" ref="F4:F13" si="1">IF(F3&lt;12,F3+1,1)</f>
        <v>12</v>
      </c>
      <c r="G4" s="90">
        <f t="shared" ref="G4:G13" si="2">IF(G3&lt;12,G3+1,1)</f>
        <v>11</v>
      </c>
      <c r="I4" s="24" t="s">
        <v>44</v>
      </c>
      <c r="J4" s="24" t="s">
        <v>46</v>
      </c>
      <c r="K4" s="24" t="s">
        <v>44</v>
      </c>
      <c r="L4" s="24" t="s">
        <v>46</v>
      </c>
      <c r="M4" s="24" t="s">
        <v>44</v>
      </c>
      <c r="N4" s="24" t="s">
        <v>46</v>
      </c>
    </row>
    <row r="5" spans="1:14" x14ac:dyDescent="0.2">
      <c r="A5" s="90">
        <v>4</v>
      </c>
      <c r="B5" s="24" t="s">
        <v>45</v>
      </c>
      <c r="C5" s="90">
        <v>4</v>
      </c>
      <c r="E5" s="90">
        <f t="shared" si="0"/>
        <v>1</v>
      </c>
      <c r="F5" s="90">
        <f t="shared" si="1"/>
        <v>1</v>
      </c>
      <c r="G5" s="90">
        <f t="shared" si="2"/>
        <v>12</v>
      </c>
      <c r="I5" s="24" t="s">
        <v>45</v>
      </c>
      <c r="J5" s="24" t="s">
        <v>46</v>
      </c>
      <c r="K5" s="24" t="s">
        <v>45</v>
      </c>
      <c r="L5" s="24" t="s">
        <v>46</v>
      </c>
      <c r="M5" s="24" t="s">
        <v>45</v>
      </c>
      <c r="N5" s="24" t="s">
        <v>46</v>
      </c>
    </row>
    <row r="6" spans="1:14" x14ac:dyDescent="0.2">
      <c r="A6" s="90">
        <v>5</v>
      </c>
      <c r="B6" s="24" t="s">
        <v>46</v>
      </c>
      <c r="C6" s="90">
        <v>5</v>
      </c>
      <c r="E6" s="90">
        <f t="shared" si="0"/>
        <v>2</v>
      </c>
      <c r="F6" s="90">
        <f t="shared" si="1"/>
        <v>2</v>
      </c>
      <c r="G6" s="90">
        <f t="shared" si="2"/>
        <v>1</v>
      </c>
      <c r="I6" s="24" t="s">
        <v>46</v>
      </c>
      <c r="J6" s="24" t="s">
        <v>48</v>
      </c>
      <c r="K6" s="24" t="s">
        <v>46</v>
      </c>
      <c r="L6" s="24" t="s">
        <v>48</v>
      </c>
      <c r="M6" s="24" t="s">
        <v>46</v>
      </c>
      <c r="N6" s="24" t="s">
        <v>48</v>
      </c>
    </row>
    <row r="7" spans="1:14" x14ac:dyDescent="0.2">
      <c r="A7" s="90">
        <v>6</v>
      </c>
      <c r="B7" s="24" t="s">
        <v>47</v>
      </c>
      <c r="C7" s="90">
        <v>6</v>
      </c>
      <c r="E7" s="90">
        <f t="shared" si="0"/>
        <v>3</v>
      </c>
      <c r="F7" s="90">
        <f t="shared" si="1"/>
        <v>3</v>
      </c>
      <c r="G7" s="90">
        <f t="shared" si="2"/>
        <v>2</v>
      </c>
      <c r="I7" s="24" t="s">
        <v>47</v>
      </c>
      <c r="J7" s="24" t="s">
        <v>48</v>
      </c>
      <c r="K7" s="24" t="s">
        <v>47</v>
      </c>
      <c r="L7" s="24" t="s">
        <v>48</v>
      </c>
      <c r="M7" s="24" t="s">
        <v>47</v>
      </c>
      <c r="N7" s="24" t="s">
        <v>48</v>
      </c>
    </row>
    <row r="8" spans="1:14" x14ac:dyDescent="0.2">
      <c r="A8" s="90">
        <v>7</v>
      </c>
      <c r="B8" s="24" t="s">
        <v>48</v>
      </c>
      <c r="C8" s="90">
        <v>7</v>
      </c>
      <c r="E8" s="90">
        <f t="shared" si="0"/>
        <v>4</v>
      </c>
      <c r="F8" s="90">
        <f t="shared" si="1"/>
        <v>4</v>
      </c>
      <c r="G8" s="90">
        <f t="shared" si="2"/>
        <v>3</v>
      </c>
      <c r="I8" s="24" t="s">
        <v>48</v>
      </c>
      <c r="J8" s="24" t="s">
        <v>50</v>
      </c>
      <c r="K8" s="24" t="s">
        <v>48</v>
      </c>
      <c r="L8" s="24" t="s">
        <v>49</v>
      </c>
      <c r="M8" s="24" t="s">
        <v>48</v>
      </c>
      <c r="N8" s="24" t="s">
        <v>50</v>
      </c>
    </row>
    <row r="9" spans="1:14" x14ac:dyDescent="0.2">
      <c r="A9" s="90">
        <v>8</v>
      </c>
      <c r="B9" s="24" t="s">
        <v>49</v>
      </c>
      <c r="C9" s="90">
        <v>8</v>
      </c>
      <c r="E9" s="90">
        <f t="shared" si="0"/>
        <v>5</v>
      </c>
      <c r="F9" s="90">
        <f t="shared" si="1"/>
        <v>5</v>
      </c>
      <c r="G9" s="90">
        <f t="shared" si="2"/>
        <v>4</v>
      </c>
      <c r="I9" s="24" t="s">
        <v>49</v>
      </c>
      <c r="J9" s="24" t="s">
        <v>50</v>
      </c>
      <c r="K9" s="24" t="s">
        <v>49</v>
      </c>
      <c r="L9" s="24" t="s">
        <v>50</v>
      </c>
      <c r="M9" s="24" t="s">
        <v>49</v>
      </c>
      <c r="N9" s="24" t="s">
        <v>50</v>
      </c>
    </row>
    <row r="10" spans="1:14" x14ac:dyDescent="0.2">
      <c r="A10" s="90">
        <v>9</v>
      </c>
      <c r="B10" s="24" t="s">
        <v>50</v>
      </c>
      <c r="C10" s="90">
        <v>9</v>
      </c>
      <c r="E10" s="90">
        <f t="shared" si="0"/>
        <v>6</v>
      </c>
      <c r="F10" s="90">
        <f t="shared" si="1"/>
        <v>6</v>
      </c>
      <c r="G10" s="90">
        <f t="shared" si="2"/>
        <v>5</v>
      </c>
      <c r="I10" s="24" t="s">
        <v>50</v>
      </c>
      <c r="J10" s="24" t="s">
        <v>41</v>
      </c>
      <c r="K10" s="24" t="s">
        <v>50</v>
      </c>
      <c r="L10" s="24" t="s">
        <v>40</v>
      </c>
      <c r="M10" s="24" t="s">
        <v>50</v>
      </c>
      <c r="N10" s="24" t="s">
        <v>41</v>
      </c>
    </row>
    <row r="11" spans="1:14" x14ac:dyDescent="0.2">
      <c r="A11" s="90">
        <v>10</v>
      </c>
      <c r="B11" s="24" t="s">
        <v>51</v>
      </c>
      <c r="C11" s="90">
        <v>10</v>
      </c>
      <c r="E11" s="90">
        <f t="shared" si="0"/>
        <v>7</v>
      </c>
      <c r="F11" s="90">
        <f t="shared" si="1"/>
        <v>7</v>
      </c>
      <c r="G11" s="90">
        <f t="shared" si="2"/>
        <v>6</v>
      </c>
      <c r="I11" s="24" t="s">
        <v>51</v>
      </c>
      <c r="J11" s="24" t="s">
        <v>41</v>
      </c>
      <c r="K11" s="24" t="s">
        <v>51</v>
      </c>
      <c r="L11" s="24" t="s">
        <v>40</v>
      </c>
      <c r="M11" s="24" t="s">
        <v>51</v>
      </c>
      <c r="N11" s="24" t="s">
        <v>41</v>
      </c>
    </row>
    <row r="12" spans="1:14" x14ac:dyDescent="0.2">
      <c r="A12" s="90">
        <v>11</v>
      </c>
      <c r="B12" s="24" t="s">
        <v>40</v>
      </c>
      <c r="C12" s="90">
        <v>11</v>
      </c>
      <c r="E12" s="90">
        <f t="shared" si="0"/>
        <v>8</v>
      </c>
      <c r="F12" s="90">
        <f t="shared" si="1"/>
        <v>8</v>
      </c>
      <c r="G12" s="90">
        <f t="shared" si="2"/>
        <v>7</v>
      </c>
      <c r="I12" s="24" t="s">
        <v>40</v>
      </c>
      <c r="J12" s="24" t="s">
        <v>41</v>
      </c>
      <c r="K12" s="24" t="s">
        <v>40</v>
      </c>
      <c r="L12" s="24" t="s">
        <v>42</v>
      </c>
      <c r="M12" s="24" t="s">
        <v>40</v>
      </c>
      <c r="N12" s="24" t="s">
        <v>41</v>
      </c>
    </row>
    <row r="13" spans="1:14" x14ac:dyDescent="0.2">
      <c r="A13" s="90">
        <v>12</v>
      </c>
      <c r="B13" s="24" t="s">
        <v>41</v>
      </c>
      <c r="C13" s="90">
        <v>12</v>
      </c>
      <c r="E13" s="90">
        <f t="shared" si="0"/>
        <v>9</v>
      </c>
      <c r="F13" s="90">
        <f t="shared" si="1"/>
        <v>9</v>
      </c>
      <c r="G13" s="90">
        <f t="shared" si="2"/>
        <v>8</v>
      </c>
      <c r="I13" s="24" t="s">
        <v>41</v>
      </c>
      <c r="J13" s="24" t="s">
        <v>44</v>
      </c>
      <c r="K13" s="24" t="s">
        <v>41</v>
      </c>
      <c r="L13" s="24" t="s">
        <v>42</v>
      </c>
      <c r="M13" s="24" t="s">
        <v>41</v>
      </c>
      <c r="N13" s="24" t="s">
        <v>44</v>
      </c>
    </row>
  </sheetData>
  <sheetProtection sheet="1" objects="1" scenarios="1"/>
  <mergeCells count="3">
    <mergeCell ref="I1:J1"/>
    <mergeCell ref="K1:L1"/>
    <mergeCell ref="M1:N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A574452D-B9B2-4B5E-8FB5-A3B5253CE9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vt:lpstr>
      <vt:lpstr>Cost by Month</vt:lpstr>
      <vt:lpstr>Graphs</vt:lpstr>
      <vt:lpstr>Misc</vt:lpstr>
      <vt:lpstr>Months</vt:lpstr>
      <vt:lpstr>Example!Print_Area</vt:lpstr>
    </vt:vector>
  </TitlesOfParts>
  <Company>ISU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Sonja Fuchs</cp:lastModifiedBy>
  <cp:lastPrinted>2017-10-10T20:45:02Z</cp:lastPrinted>
  <dcterms:created xsi:type="dcterms:W3CDTF">2000-11-08T21:50:06Z</dcterms:created>
  <dcterms:modified xsi:type="dcterms:W3CDTF">2023-03-17T19:16:18Z</dcterms:modified>
</cp:coreProperties>
</file>