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My Stuff\NDSU current\"/>
    </mc:Choice>
  </mc:AlternateContent>
  <xr:revisionPtr revIDLastSave="0" documentId="13_ncr:1_{AD72ED8C-5662-4D2A-BB05-890380860BCC}" xr6:coauthVersionLast="47" xr6:coauthVersionMax="47" xr10:uidLastSave="{00000000-0000-0000-0000-000000000000}"/>
  <workbookProtection workbookAlgorithmName="SHA-512" workbookHashValue="cjwhSQvyXKrVcnmqGkqbRMA1hWEZUzfhDN6UwS0LUkj/tz99GpBI6J8inFw5hYYB4Yx9ybJ2yqUdiMlyPavPYg==" workbookSaltValue="2Glujqf6kU3wZGQPF14puA==" workbookSpinCount="100000" lockStructure="1"/>
  <bookViews>
    <workbookView xWindow="-120" yWindow="-120" windowWidth="29040" windowHeight="15720" xr2:uid="{00000000-000D-0000-FFFF-FFFF00000000}"/>
  </bookViews>
  <sheets>
    <sheet name="Prog" sheetId="2" r:id="rId1"/>
    <sheet name="BM Ylds" sheetId="4" r:id="rId2"/>
    <sheet name="2015 Co. Ylds" sheetId="3" state="hidden" r:id="rId3"/>
    <sheet name="2020-2024 Ylds" sheetId="1" r:id="rId4"/>
  </sheets>
  <definedNames>
    <definedName name="BMYld">'BM Ylds'!$A$3:$R$260</definedName>
    <definedName name="CoYld">'2020-2024 Ylds'!$A$4:$CH$261</definedName>
    <definedName name="MN">Prog!$BE$15:$BE$101</definedName>
    <definedName name="MT">Prog!$BG$15:$BG$66</definedName>
    <definedName name="ND">Prog!$BC$15:$BC$67</definedName>
    <definedName name="_xlnm.Print_Area" localSheetId="0">Prog!$A$14:$L$72</definedName>
    <definedName name="SD">Prog!$BI$15:$BI$80</definedName>
    <definedName name="Yld2018">'BM Ylds'!$A$3:$R$142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O64" i="2" l="1"/>
  <c r="C41" i="2"/>
  <c r="G92" i="2" l="1"/>
  <c r="F92" i="2"/>
  <c r="E92" i="2"/>
  <c r="C92" i="2"/>
  <c r="D92" i="2"/>
  <c r="G91" i="2"/>
  <c r="F91" i="2"/>
  <c r="E91" i="2"/>
  <c r="D91" i="2"/>
  <c r="C91" i="2"/>
  <c r="G90" i="2"/>
  <c r="F90" i="2"/>
  <c r="E90" i="2"/>
  <c r="D90" i="2"/>
  <c r="C90" i="2"/>
  <c r="G89" i="2"/>
  <c r="F89" i="2"/>
  <c r="E89" i="2"/>
  <c r="D89" i="2"/>
  <c r="C89" i="2"/>
  <c r="G88" i="2"/>
  <c r="AO66" i="2"/>
  <c r="AO65" i="2"/>
  <c r="H90" i="2"/>
  <c r="AO63" i="2"/>
  <c r="H89" i="2" s="1"/>
  <c r="AO38" i="2" l="1"/>
  <c r="AO37" i="2"/>
  <c r="I37" i="2"/>
  <c r="I38" i="2"/>
  <c r="AN38" i="2"/>
  <c r="AM38" i="2"/>
  <c r="AL38" i="2"/>
  <c r="AK38" i="2"/>
  <c r="AN37" i="2"/>
  <c r="AM37" i="2"/>
  <c r="AL37" i="2"/>
  <c r="AK37" i="2"/>
  <c r="F18" i="2"/>
  <c r="AU37" i="2" l="1"/>
  <c r="AV37" i="2" s="1"/>
  <c r="AX38" i="2"/>
  <c r="AY38" i="2" s="1"/>
  <c r="AP37" i="2"/>
  <c r="AQ37" i="2" s="1"/>
  <c r="AT37" i="2"/>
  <c r="J63" i="2" s="1"/>
  <c r="AX37" i="2"/>
  <c r="AY37" i="2" s="1"/>
  <c r="AR37" i="2"/>
  <c r="AS37" i="2"/>
  <c r="I63" i="2" s="1"/>
  <c r="AS38" i="2"/>
  <c r="I64" i="2" s="1"/>
  <c r="AP38" i="2"/>
  <c r="AQ38" i="2" s="1"/>
  <c r="AR38" i="2"/>
  <c r="AT38" i="2"/>
  <c r="J64" i="2" s="1"/>
  <c r="AU38" i="2"/>
  <c r="A73" i="2"/>
  <c r="A20" i="2"/>
  <c r="AV38" i="2" l="1"/>
  <c r="E63" i="2"/>
  <c r="C63" i="2"/>
  <c r="E64" i="2"/>
  <c r="C64" i="2"/>
  <c r="K64" i="2"/>
  <c r="L64" i="2" s="1"/>
  <c r="H38" i="2" s="1"/>
  <c r="K63" i="2"/>
  <c r="L63" i="2" s="1"/>
  <c r="H37" i="2" s="1"/>
  <c r="AK39" i="2"/>
  <c r="AL39" i="2"/>
  <c r="C46" i="2"/>
  <c r="C74" i="2"/>
  <c r="G87" i="2"/>
  <c r="G86" i="2"/>
  <c r="G85" i="2"/>
  <c r="G84" i="2"/>
  <c r="G83" i="2"/>
  <c r="G82" i="2"/>
  <c r="G81" i="2"/>
  <c r="G80" i="2"/>
  <c r="G79" i="2"/>
  <c r="G78" i="2"/>
  <c r="G77" i="2"/>
  <c r="F88" i="2"/>
  <c r="F87" i="2"/>
  <c r="F86" i="2"/>
  <c r="F85" i="2"/>
  <c r="F84" i="2"/>
  <c r="F83" i="2"/>
  <c r="F82" i="2"/>
  <c r="F81" i="2"/>
  <c r="F80" i="2"/>
  <c r="F79" i="2"/>
  <c r="F78" i="2"/>
  <c r="F77" i="2"/>
  <c r="E88" i="2"/>
  <c r="E87" i="2"/>
  <c r="E86" i="2"/>
  <c r="E85" i="2"/>
  <c r="E84" i="2"/>
  <c r="E83" i="2"/>
  <c r="E82" i="2"/>
  <c r="E81" i="2"/>
  <c r="E80" i="2"/>
  <c r="E78" i="2"/>
  <c r="E79" i="2"/>
  <c r="E77" i="2"/>
  <c r="D88" i="2"/>
  <c r="D87" i="2"/>
  <c r="D86" i="2"/>
  <c r="D85" i="2"/>
  <c r="D84" i="2"/>
  <c r="D83" i="2"/>
  <c r="D82" i="2"/>
  <c r="D81" i="2"/>
  <c r="D80" i="2"/>
  <c r="D79" i="2"/>
  <c r="D78" i="2"/>
  <c r="D77" i="2"/>
  <c r="C88" i="2"/>
  <c r="C87" i="2"/>
  <c r="C86" i="2"/>
  <c r="C85" i="2"/>
  <c r="C84" i="2"/>
  <c r="C83" i="2"/>
  <c r="C82" i="2"/>
  <c r="C81" i="2"/>
  <c r="C80" i="2"/>
  <c r="C79" i="2"/>
  <c r="C78" i="2"/>
  <c r="C77" i="2"/>
  <c r="G76" i="2"/>
  <c r="F76" i="2"/>
  <c r="E76" i="2"/>
  <c r="D76" i="2"/>
  <c r="C76" i="2"/>
  <c r="BM18" i="2"/>
  <c r="BI13" i="2"/>
  <c r="BG13" i="2"/>
  <c r="BE13" i="2"/>
  <c r="AO62" i="2"/>
  <c r="AO36" i="2" s="1"/>
  <c r="AO61" i="2"/>
  <c r="AO35" i="2" s="1"/>
  <c r="AO60" i="2"/>
  <c r="H86" i="2" s="1"/>
  <c r="I34" i="2" s="1"/>
  <c r="AO59" i="2"/>
  <c r="H85" i="2" s="1"/>
  <c r="I33" i="2" s="1"/>
  <c r="AO58" i="2"/>
  <c r="AO32" i="2" s="1"/>
  <c r="AO57" i="2"/>
  <c r="AO31" i="2" s="1"/>
  <c r="AO56" i="2"/>
  <c r="H82" i="2" s="1"/>
  <c r="AO55" i="2"/>
  <c r="H81" i="2" s="1"/>
  <c r="AO54" i="2"/>
  <c r="AO28" i="2" s="1"/>
  <c r="AO53" i="2"/>
  <c r="AO27" i="2" s="1"/>
  <c r="AO52" i="2"/>
  <c r="H78" i="2" s="1"/>
  <c r="AO51" i="2"/>
  <c r="AO25" i="2" s="1"/>
  <c r="AO50" i="2"/>
  <c r="AO24" i="2" s="1"/>
  <c r="AO48" i="2"/>
  <c r="F49" i="2"/>
  <c r="AN40" i="2"/>
  <c r="AM40" i="2"/>
  <c r="AN39" i="2"/>
  <c r="AM39" i="2"/>
  <c r="AN36" i="2"/>
  <c r="AM36" i="2"/>
  <c r="AN35" i="2"/>
  <c r="AM35" i="2"/>
  <c r="AN34" i="2"/>
  <c r="AM34" i="2"/>
  <c r="AN33" i="2"/>
  <c r="AM33" i="2"/>
  <c r="AN32" i="2"/>
  <c r="AM32" i="2"/>
  <c r="AN31" i="2"/>
  <c r="AM31" i="2"/>
  <c r="AN30" i="2"/>
  <c r="AM30" i="2"/>
  <c r="AN29" i="2"/>
  <c r="AM29" i="2"/>
  <c r="AN28" i="2"/>
  <c r="AM28" i="2"/>
  <c r="AN27" i="2"/>
  <c r="AM27" i="2"/>
  <c r="AN26" i="2"/>
  <c r="AM26" i="2"/>
  <c r="AN25" i="2"/>
  <c r="AM25" i="2"/>
  <c r="AL40" i="2"/>
  <c r="AL36" i="2"/>
  <c r="AL35" i="2"/>
  <c r="AL34" i="2"/>
  <c r="AL33" i="2"/>
  <c r="AL32" i="2"/>
  <c r="AL31" i="2"/>
  <c r="AL30" i="2"/>
  <c r="AL29" i="2"/>
  <c r="AL28" i="2"/>
  <c r="AL27" i="2"/>
  <c r="AL26" i="2"/>
  <c r="AL25" i="2"/>
  <c r="AL24" i="2"/>
  <c r="AN24" i="2"/>
  <c r="AM24" i="2"/>
  <c r="AK30" i="2"/>
  <c r="BC13" i="2"/>
  <c r="AK40" i="2"/>
  <c r="AK36" i="2"/>
  <c r="AK35" i="2"/>
  <c r="AK34" i="2"/>
  <c r="AK33" i="2"/>
  <c r="AK32" i="2"/>
  <c r="AK31" i="2"/>
  <c r="AK29" i="2"/>
  <c r="AK28" i="2"/>
  <c r="AU28" i="2" s="1"/>
  <c r="AV28" i="2" s="1"/>
  <c r="AK27" i="2"/>
  <c r="AK26" i="2"/>
  <c r="AK25" i="2"/>
  <c r="AK24" i="2"/>
  <c r="E41" i="2"/>
  <c r="AU39" i="2" l="1"/>
  <c r="H92" i="2"/>
  <c r="H91" i="2"/>
  <c r="AX36" i="2"/>
  <c r="AY36" i="2" s="1"/>
  <c r="AX40" i="2"/>
  <c r="AY40" i="2" s="1"/>
  <c r="AT24" i="2"/>
  <c r="J50" i="2" s="1"/>
  <c r="AT39" i="2"/>
  <c r="J65" i="2" s="1"/>
  <c r="AT31" i="2"/>
  <c r="J57" i="2" s="1"/>
  <c r="AT30" i="2"/>
  <c r="J56" i="2" s="1"/>
  <c r="AS29" i="2"/>
  <c r="I55" i="2" s="1"/>
  <c r="AX24" i="2"/>
  <c r="AY24" i="2" s="1"/>
  <c r="AX29" i="2"/>
  <c r="AY29" i="2" s="1"/>
  <c r="AT27" i="2"/>
  <c r="J53" i="2" s="1"/>
  <c r="AT34" i="2"/>
  <c r="J60" i="2" s="1"/>
  <c r="AX33" i="2"/>
  <c r="AY33" i="2" s="1"/>
  <c r="AX32" i="2"/>
  <c r="AY32" i="2" s="1"/>
  <c r="AX31" i="2"/>
  <c r="AY31" i="2" s="1"/>
  <c r="AT29" i="2"/>
  <c r="J55" i="2" s="1"/>
  <c r="AP28" i="2"/>
  <c r="AQ28" i="2" s="1"/>
  <c r="AU29" i="2"/>
  <c r="AV29" i="2" s="1"/>
  <c r="AX27" i="2"/>
  <c r="AY27" i="2" s="1"/>
  <c r="AX30" i="2"/>
  <c r="AY30" i="2" s="1"/>
  <c r="AP27" i="2"/>
  <c r="AQ27" i="2" s="1"/>
  <c r="AP31" i="2"/>
  <c r="AQ31" i="2" s="1"/>
  <c r="AU30" i="2"/>
  <c r="AV30" i="2" s="1"/>
  <c r="AT28" i="2"/>
  <c r="J54" i="2" s="1"/>
  <c r="AX28" i="2"/>
  <c r="AY28" i="2" s="1"/>
  <c r="AU31" i="2"/>
  <c r="AV31" i="2" s="1"/>
  <c r="AR29" i="2"/>
  <c r="E55" i="2" s="1"/>
  <c r="AR24" i="2"/>
  <c r="E50" i="2" s="1"/>
  <c r="AT26" i="2"/>
  <c r="J52" i="2" s="1"/>
  <c r="AS33" i="2"/>
  <c r="I59" i="2" s="1"/>
  <c r="AS32" i="2"/>
  <c r="I58" i="2" s="1"/>
  <c r="AR25" i="2"/>
  <c r="E51" i="2" s="1"/>
  <c r="AX34" i="2"/>
  <c r="AY34" i="2" s="1"/>
  <c r="AT33" i="2"/>
  <c r="J59" i="2" s="1"/>
  <c r="AT32" i="2"/>
  <c r="J58" i="2" s="1"/>
  <c r="AU36" i="2"/>
  <c r="AV36" i="2" s="1"/>
  <c r="AU32" i="2"/>
  <c r="AV32" i="2" s="1"/>
  <c r="AP32" i="2"/>
  <c r="AQ32" i="2" s="1"/>
  <c r="AS27" i="2"/>
  <c r="AU27" i="2"/>
  <c r="AV27" i="2" s="1"/>
  <c r="AP30" i="2"/>
  <c r="AQ30" i="2" s="1"/>
  <c r="AX26" i="2"/>
  <c r="AY26" i="2" s="1"/>
  <c r="AS30" i="2"/>
  <c r="I56" i="2" s="1"/>
  <c r="AS34" i="2"/>
  <c r="I60" i="2" s="1"/>
  <c r="AP29" i="2"/>
  <c r="AQ29" i="2" s="1"/>
  <c r="AT36" i="2"/>
  <c r="J62" i="2" s="1"/>
  <c r="AU34" i="2"/>
  <c r="AV34" i="2" s="1"/>
  <c r="AR27" i="2"/>
  <c r="E53" i="2" s="1"/>
  <c r="AS31" i="2"/>
  <c r="I57" i="2" s="1"/>
  <c r="AS28" i="2"/>
  <c r="I54" i="2" s="1"/>
  <c r="AR32" i="2"/>
  <c r="E58" i="2" s="1"/>
  <c r="AS36" i="2"/>
  <c r="I62" i="2" s="1"/>
  <c r="AP24" i="2"/>
  <c r="AQ24" i="2" s="1"/>
  <c r="AS25" i="2"/>
  <c r="I51" i="2" s="1"/>
  <c r="AP25" i="2"/>
  <c r="AQ25" i="2" s="1"/>
  <c r="AT25" i="2"/>
  <c r="J51" i="2" s="1"/>
  <c r="AX25" i="2"/>
  <c r="AY25" i="2" s="1"/>
  <c r="AS24" i="2"/>
  <c r="I50" i="2" s="1"/>
  <c r="AU24" i="2"/>
  <c r="AV24" i="2" s="1"/>
  <c r="AS26" i="2"/>
  <c r="I52" i="2" s="1"/>
  <c r="AX39" i="2"/>
  <c r="AY39" i="2" s="1"/>
  <c r="AS39" i="2"/>
  <c r="I65" i="2" s="1"/>
  <c r="AT40" i="2"/>
  <c r="J66" i="2" s="1"/>
  <c r="AR40" i="2"/>
  <c r="E66" i="2" s="1"/>
  <c r="AS40" i="2"/>
  <c r="I66" i="2" s="1"/>
  <c r="AP40" i="2"/>
  <c r="AQ40" i="2" s="1"/>
  <c r="AR39" i="2"/>
  <c r="E65" i="2" s="1"/>
  <c r="AP39" i="2"/>
  <c r="AQ39" i="2" s="1"/>
  <c r="AX35" i="2"/>
  <c r="AY35" i="2" s="1"/>
  <c r="AT35" i="2"/>
  <c r="J61" i="2" s="1"/>
  <c r="AR35" i="2"/>
  <c r="E61" i="2" s="1"/>
  <c r="AS35" i="2"/>
  <c r="I61" i="2" s="1"/>
  <c r="AP35" i="2"/>
  <c r="AQ35" i="2" s="1"/>
  <c r="AU35" i="2"/>
  <c r="AV35" i="2" s="1"/>
  <c r="AP36" i="2"/>
  <c r="AQ36" i="2" s="1"/>
  <c r="AR36" i="2"/>
  <c r="E62" i="2" s="1"/>
  <c r="AR30" i="2"/>
  <c r="E56" i="2" s="1"/>
  <c r="AR33" i="2"/>
  <c r="E59" i="2" s="1"/>
  <c r="AP34" i="2"/>
  <c r="AQ34" i="2" s="1"/>
  <c r="AR34" i="2"/>
  <c r="E60" i="2" s="1"/>
  <c r="AR31" i="2"/>
  <c r="E57" i="2" s="1"/>
  <c r="AR28" i="2"/>
  <c r="E54" i="2" s="1"/>
  <c r="AP26" i="2"/>
  <c r="AQ26" i="2" s="1"/>
  <c r="AR26" i="2"/>
  <c r="E52" i="2" s="1"/>
  <c r="AU25" i="2"/>
  <c r="AV25" i="2" s="1"/>
  <c r="AP33" i="2"/>
  <c r="AQ33" i="2" s="1"/>
  <c r="AU33" i="2"/>
  <c r="AV33" i="2" s="1"/>
  <c r="E17" i="2"/>
  <c r="AO39" i="2"/>
  <c r="AO26" i="2"/>
  <c r="AU26" i="2" s="1"/>
  <c r="AV26" i="2" s="1"/>
  <c r="AO34" i="2"/>
  <c r="AO40" i="2"/>
  <c r="AU40" i="2" s="1"/>
  <c r="AV40" i="2" s="1"/>
  <c r="AO30" i="2"/>
  <c r="I30" i="2"/>
  <c r="AO29" i="2"/>
  <c r="AO33" i="2"/>
  <c r="I26" i="2"/>
  <c r="H80" i="2"/>
  <c r="I28" i="2" s="1"/>
  <c r="H77" i="2"/>
  <c r="H76" i="2"/>
  <c r="I24" i="2" s="1"/>
  <c r="I29" i="2"/>
  <c r="H88" i="2"/>
  <c r="H84" i="2"/>
  <c r="H79" i="2"/>
  <c r="H87" i="2"/>
  <c r="H83" i="2"/>
  <c r="AV39" i="2" l="1"/>
  <c r="AU41" i="2"/>
  <c r="A71" i="2" s="1"/>
  <c r="C65" i="2"/>
  <c r="I39" i="2"/>
  <c r="I40" i="2"/>
  <c r="K55" i="2"/>
  <c r="L55" i="2" s="1"/>
  <c r="H29" i="2" s="1"/>
  <c r="I53" i="2"/>
  <c r="K53" i="2" s="1"/>
  <c r="L53" i="2" s="1"/>
  <c r="H27" i="2" s="1"/>
  <c r="K50" i="2"/>
  <c r="L50" i="2" s="1"/>
  <c r="H24" i="2" s="1"/>
  <c r="K65" i="2"/>
  <c r="L65" i="2" s="1"/>
  <c r="K62" i="2"/>
  <c r="L62" i="2" s="1"/>
  <c r="H36" i="2" s="1"/>
  <c r="C56" i="2"/>
  <c r="K60" i="2"/>
  <c r="L60" i="2" s="1"/>
  <c r="H34" i="2" s="1"/>
  <c r="K57" i="2"/>
  <c r="L57" i="2" s="1"/>
  <c r="H31" i="2" s="1"/>
  <c r="C55" i="2"/>
  <c r="K59" i="2"/>
  <c r="L59" i="2" s="1"/>
  <c r="H33" i="2" s="1"/>
  <c r="C59" i="2"/>
  <c r="C60" i="2"/>
  <c r="K58" i="2"/>
  <c r="L58" i="2" s="1"/>
  <c r="H32" i="2" s="1"/>
  <c r="K56" i="2"/>
  <c r="L56" i="2" s="1"/>
  <c r="H30" i="2" s="1"/>
  <c r="K54" i="2"/>
  <c r="L54" i="2" s="1"/>
  <c r="H28" i="2" s="1"/>
  <c r="K51" i="2"/>
  <c r="L51" i="2" s="1"/>
  <c r="H25" i="2" s="1"/>
  <c r="K61" i="2"/>
  <c r="L61" i="2" s="1"/>
  <c r="H35" i="2" s="1"/>
  <c r="AX41" i="2"/>
  <c r="A72" i="2" s="1"/>
  <c r="K52" i="2"/>
  <c r="L52" i="2" s="1"/>
  <c r="H26" i="2" s="1"/>
  <c r="C52" i="2"/>
  <c r="C66" i="2"/>
  <c r="K66" i="2"/>
  <c r="L66" i="2" s="1"/>
  <c r="AP41" i="2"/>
  <c r="A44" i="2" s="1"/>
  <c r="C50" i="2"/>
  <c r="C54" i="2"/>
  <c r="I25" i="2"/>
  <c r="C51" i="2"/>
  <c r="I32" i="2"/>
  <c r="C58" i="2"/>
  <c r="I27" i="2"/>
  <c r="C53" i="2"/>
  <c r="I36" i="2"/>
  <c r="C62" i="2"/>
  <c r="I35" i="2"/>
  <c r="C61" i="2"/>
  <c r="I31" i="2"/>
  <c r="C57" i="2"/>
  <c r="G63" i="2" l="1"/>
  <c r="D63" i="2"/>
  <c r="F63" i="2" s="1"/>
  <c r="G64" i="2"/>
  <c r="D64" i="2"/>
  <c r="F64" i="2" s="1"/>
  <c r="H64" i="2" s="1"/>
  <c r="G38" i="2" s="1"/>
  <c r="H40" i="2"/>
  <c r="H39" i="2"/>
  <c r="D52" i="2"/>
  <c r="F52" i="2" s="1"/>
  <c r="G52" i="2"/>
  <c r="D51" i="2"/>
  <c r="F51" i="2" s="1"/>
  <c r="G51" i="2"/>
  <c r="D50" i="2"/>
  <c r="F50" i="2" s="1"/>
  <c r="G50" i="2"/>
  <c r="D66" i="2"/>
  <c r="F66" i="2" s="1"/>
  <c r="G66" i="2"/>
  <c r="D65" i="2"/>
  <c r="F65" i="2" s="1"/>
  <c r="G65" i="2"/>
  <c r="G62" i="2"/>
  <c r="D62" i="2"/>
  <c r="F62" i="2" s="1"/>
  <c r="G61" i="2"/>
  <c r="D61" i="2"/>
  <c r="F61" i="2" s="1"/>
  <c r="D60" i="2"/>
  <c r="F60" i="2" s="1"/>
  <c r="G60" i="2"/>
  <c r="D59" i="2"/>
  <c r="F59" i="2" s="1"/>
  <c r="G59" i="2"/>
  <c r="G58" i="2"/>
  <c r="D58" i="2"/>
  <c r="F58" i="2" s="1"/>
  <c r="G56" i="2"/>
  <c r="D56" i="2"/>
  <c r="F56" i="2" s="1"/>
  <c r="D55" i="2"/>
  <c r="F55" i="2" s="1"/>
  <c r="G55" i="2"/>
  <c r="D54" i="2"/>
  <c r="F54" i="2" s="1"/>
  <c r="G54" i="2"/>
  <c r="G53" i="2"/>
  <c r="D53" i="2"/>
  <c r="F53" i="2" s="1"/>
  <c r="G57" i="2"/>
  <c r="D57" i="2"/>
  <c r="F57" i="2" s="1"/>
  <c r="H63" i="2" l="1"/>
  <c r="G37" i="2" s="1"/>
  <c r="H50" i="2"/>
  <c r="G24" i="2" s="1"/>
  <c r="H52" i="2"/>
  <c r="G26" i="2" s="1"/>
  <c r="H60" i="2"/>
  <c r="G34" i="2" s="1"/>
  <c r="H65" i="2"/>
  <c r="G39" i="2" s="1"/>
  <c r="H55" i="2"/>
  <c r="G29" i="2" s="1"/>
  <c r="H66" i="2"/>
  <c r="H56" i="2"/>
  <c r="G30" i="2" s="1"/>
  <c r="H54" i="2"/>
  <c r="G28" i="2" s="1"/>
  <c r="H59" i="2"/>
  <c r="G33" i="2" s="1"/>
  <c r="H51" i="2"/>
  <c r="G25" i="2" s="1"/>
  <c r="H57" i="2"/>
  <c r="G31" i="2" s="1"/>
  <c r="H62" i="2"/>
  <c r="G36" i="2" s="1"/>
  <c r="H53" i="2"/>
  <c r="G27" i="2" s="1"/>
  <c r="H61" i="2"/>
  <c r="G35" i="2" s="1"/>
  <c r="H58" i="2"/>
  <c r="G32" i="2" s="1"/>
  <c r="G40" i="2" l="1"/>
  <c r="I22" i="2" s="1"/>
</calcChain>
</file>

<file path=xl/sharedStrings.xml><?xml version="1.0" encoding="utf-8"?>
<sst xmlns="http://schemas.openxmlformats.org/spreadsheetml/2006/main" count="12102" uniqueCount="418">
  <si>
    <t>North Dakota</t>
  </si>
  <si>
    <t>Wheat</t>
  </si>
  <si>
    <t>Soybean</t>
  </si>
  <si>
    <t>Corn</t>
  </si>
  <si>
    <t>Barley</t>
  </si>
  <si>
    <t>Oats</t>
  </si>
  <si>
    <t>Flax</t>
  </si>
  <si>
    <t>Canola</t>
  </si>
  <si>
    <t>Safflower</t>
  </si>
  <si>
    <t>Mustard</t>
  </si>
  <si>
    <t>Dry Peas</t>
  </si>
  <si>
    <t>Lentils</t>
  </si>
  <si>
    <t>Lg.Ckpea</t>
  </si>
  <si>
    <t>Sm.Ckpea</t>
  </si>
  <si>
    <t>County</t>
  </si>
  <si>
    <t>State</t>
  </si>
  <si>
    <t>Name</t>
  </si>
  <si>
    <t>Farm No.</t>
  </si>
  <si>
    <t>Crop</t>
  </si>
  <si>
    <t>Base Ac.</t>
  </si>
  <si>
    <t xml:space="preserve">Barley </t>
  </si>
  <si>
    <t>Sunflower</t>
  </si>
  <si>
    <t>Units</t>
  </si>
  <si>
    <t>bu</t>
  </si>
  <si>
    <t>PLC</t>
  </si>
  <si>
    <t>Payment</t>
  </si>
  <si>
    <t>Actual</t>
  </si>
  <si>
    <t>Base</t>
  </si>
  <si>
    <t>lb</t>
  </si>
  <si>
    <t>Revenue</t>
  </si>
  <si>
    <t>Data entered = 1</t>
  </si>
  <si>
    <t>&lt;--required</t>
  </si>
  <si>
    <t>INPUT SECTION:</t>
  </si>
  <si>
    <t>Minnesota</t>
  </si>
  <si>
    <t>Adams ND</t>
  </si>
  <si>
    <t>Barnes ND</t>
  </si>
  <si>
    <t>Benson ND</t>
  </si>
  <si>
    <t>Billings ND</t>
  </si>
  <si>
    <t>Bottineau ND</t>
  </si>
  <si>
    <t>Bowman ND</t>
  </si>
  <si>
    <t>Burke ND</t>
  </si>
  <si>
    <t>Burleigh ND</t>
  </si>
  <si>
    <t>Cass ND</t>
  </si>
  <si>
    <t>Cavalier ND</t>
  </si>
  <si>
    <t>Dickey ND</t>
  </si>
  <si>
    <t>Divide ND</t>
  </si>
  <si>
    <t>Dunn ND</t>
  </si>
  <si>
    <t>Eddy ND</t>
  </si>
  <si>
    <t>Emmons ND</t>
  </si>
  <si>
    <t>Foster ND</t>
  </si>
  <si>
    <t>Golden Valley ND</t>
  </si>
  <si>
    <t>Grand Forks ND</t>
  </si>
  <si>
    <t>Grant ND</t>
  </si>
  <si>
    <t>Griggs ND</t>
  </si>
  <si>
    <t>Hettinger ND</t>
  </si>
  <si>
    <t>Kidder ND</t>
  </si>
  <si>
    <t>La Moure ND</t>
  </si>
  <si>
    <t>Logan ND</t>
  </si>
  <si>
    <t>McHenry ND</t>
  </si>
  <si>
    <t>McIntosh ND</t>
  </si>
  <si>
    <t>McKenzie ND</t>
  </si>
  <si>
    <t>McLean ND</t>
  </si>
  <si>
    <t>Mercer ND</t>
  </si>
  <si>
    <t>Morton ND</t>
  </si>
  <si>
    <t>Nelson ND</t>
  </si>
  <si>
    <t>Oliver ND</t>
  </si>
  <si>
    <t>Pembina ND</t>
  </si>
  <si>
    <t>Pierce ND</t>
  </si>
  <si>
    <t>Ramsey ND</t>
  </si>
  <si>
    <t>Ransom ND</t>
  </si>
  <si>
    <t>Renville ND</t>
  </si>
  <si>
    <t>Richland ND</t>
  </si>
  <si>
    <t>Rolette ND</t>
  </si>
  <si>
    <t>Sargent ND</t>
  </si>
  <si>
    <t>Sheridan ND</t>
  </si>
  <si>
    <t>Sioux ND</t>
  </si>
  <si>
    <t>Slope ND</t>
  </si>
  <si>
    <t>Stark ND</t>
  </si>
  <si>
    <t>Steele ND</t>
  </si>
  <si>
    <t>Stutsman ND</t>
  </si>
  <si>
    <t>Towner ND</t>
  </si>
  <si>
    <t>Traill ND</t>
  </si>
  <si>
    <t>Walsh ND</t>
  </si>
  <si>
    <t>Ward ND</t>
  </si>
  <si>
    <t>Wells ND</t>
  </si>
  <si>
    <t>Williams ND</t>
  </si>
  <si>
    <t>Aitkin MN</t>
  </si>
  <si>
    <t>Anoka MN</t>
  </si>
  <si>
    <t>Becker MN</t>
  </si>
  <si>
    <t>Beltrami MN</t>
  </si>
  <si>
    <t>Benton MN</t>
  </si>
  <si>
    <t>Big Stone MN</t>
  </si>
  <si>
    <t>Blue Earth MN</t>
  </si>
  <si>
    <t>Brown MN</t>
  </si>
  <si>
    <t>Carlton MN</t>
  </si>
  <si>
    <t>Carver MN</t>
  </si>
  <si>
    <t>Cass MN</t>
  </si>
  <si>
    <t>Chippewa MN</t>
  </si>
  <si>
    <t>Chisago MN</t>
  </si>
  <si>
    <t>Clay MN</t>
  </si>
  <si>
    <t>Clearwater MN</t>
  </si>
  <si>
    <t>Cottonwood MN</t>
  </si>
  <si>
    <t>Crow Wing MN</t>
  </si>
  <si>
    <t>Dakota MN</t>
  </si>
  <si>
    <t>Dodge MN</t>
  </si>
  <si>
    <t>East Otter Tail MN</t>
  </si>
  <si>
    <t>East Polk MN</t>
  </si>
  <si>
    <t>Faribault MN</t>
  </si>
  <si>
    <t>Fillmore MN</t>
  </si>
  <si>
    <t>Freeborn MN</t>
  </si>
  <si>
    <t>Goodhue MN</t>
  </si>
  <si>
    <t>Grant MN</t>
  </si>
  <si>
    <t>Hennepin MN</t>
  </si>
  <si>
    <t>Houston MN</t>
  </si>
  <si>
    <t>Hubbard MN</t>
  </si>
  <si>
    <t>Isanti MN</t>
  </si>
  <si>
    <t>Itasca MN</t>
  </si>
  <si>
    <t>Kanabec MN</t>
  </si>
  <si>
    <t>Kandiyohi MN</t>
  </si>
  <si>
    <t>Kittson MN</t>
  </si>
  <si>
    <t>Koochiching MN</t>
  </si>
  <si>
    <t>Lac qui Parle MN</t>
  </si>
  <si>
    <t>Lake of the Woods MN</t>
  </si>
  <si>
    <t>Le Sueur MN</t>
  </si>
  <si>
    <t>Lincoln MN</t>
  </si>
  <si>
    <t>Lyon MN</t>
  </si>
  <si>
    <t>Mahnomen MN</t>
  </si>
  <si>
    <t>Marshall MN</t>
  </si>
  <si>
    <t>Martin MN</t>
  </si>
  <si>
    <t>McLeod MN</t>
  </si>
  <si>
    <t>Meeker MN</t>
  </si>
  <si>
    <t>Mille Lacs MN</t>
  </si>
  <si>
    <t>Morrison MN</t>
  </si>
  <si>
    <t>Mower MN</t>
  </si>
  <si>
    <t>Murray MN</t>
  </si>
  <si>
    <t>Nicollet MN</t>
  </si>
  <si>
    <t>Nobles MN</t>
  </si>
  <si>
    <t>Norman MN</t>
  </si>
  <si>
    <t>North St. Louis MN</t>
  </si>
  <si>
    <t>Olmsted MN</t>
  </si>
  <si>
    <t>Pennington MN</t>
  </si>
  <si>
    <t>Pine MN</t>
  </si>
  <si>
    <t>Pipestone MN</t>
  </si>
  <si>
    <t>Pope MN</t>
  </si>
  <si>
    <t>Red Lake MN</t>
  </si>
  <si>
    <t>Redwood MN</t>
  </si>
  <si>
    <t>Renville MN</t>
  </si>
  <si>
    <t>Rice MN</t>
  </si>
  <si>
    <t>Rock MN</t>
  </si>
  <si>
    <t>Roseau MN</t>
  </si>
  <si>
    <t>Scott MN</t>
  </si>
  <si>
    <t>Sherburne MN</t>
  </si>
  <si>
    <t>Sibley MN</t>
  </si>
  <si>
    <t>South St. Louis MN</t>
  </si>
  <si>
    <t>Stearns MN</t>
  </si>
  <si>
    <t>Steele MN</t>
  </si>
  <si>
    <t>Stevens MN</t>
  </si>
  <si>
    <t>Swift MN</t>
  </si>
  <si>
    <t>Todd MN</t>
  </si>
  <si>
    <t>Traverse MN</t>
  </si>
  <si>
    <t>Wabasha MN</t>
  </si>
  <si>
    <t>Wadena MN</t>
  </si>
  <si>
    <t>Waseca MN</t>
  </si>
  <si>
    <t>Washington MN</t>
  </si>
  <si>
    <t>Watonwan MN</t>
  </si>
  <si>
    <t>West Otter Tail MN</t>
  </si>
  <si>
    <t>West Polk MN</t>
  </si>
  <si>
    <t>Wilkin MN</t>
  </si>
  <si>
    <t>Winona MN</t>
  </si>
  <si>
    <t>Wright MN</t>
  </si>
  <si>
    <t>Yellow Medicine MN</t>
  </si>
  <si>
    <t>Ramsey MN</t>
  </si>
  <si>
    <t>Jackson MN</t>
  </si>
  <si>
    <t>Douglas MN</t>
  </si>
  <si>
    <t>Cook MN</t>
  </si>
  <si>
    <t>Lake MN</t>
  </si>
  <si>
    <t>Mountrail ND</t>
  </si>
  <si>
    <t>Current Selection:</t>
  </si>
  <si>
    <t>1=Minnesota</t>
  </si>
  <si>
    <t xml:space="preserve">which county column is active =1 </t>
  </si>
  <si>
    <t>The number below  (1 or 0) indicates</t>
  </si>
  <si>
    <t>ND and MN</t>
  </si>
  <si>
    <t>Used to prompt county selection if different state selected.</t>
  </si>
  <si>
    <t>Price</t>
  </si>
  <si>
    <t>(Guar. -</t>
  </si>
  <si>
    <t>Pmt Rate</t>
  </si>
  <si>
    <t>Yield</t>
  </si>
  <si>
    <t>Sorghum</t>
  </si>
  <si>
    <t>Acres</t>
  </si>
  <si>
    <t>Total Payments</t>
  </si>
  <si>
    <t>Avg Yield</t>
  </si>
  <si>
    <t>Nat'l MYA</t>
  </si>
  <si>
    <t>Rate</t>
  </si>
  <si>
    <t>MYA Price</t>
  </si>
  <si>
    <t>Co Yld</t>
  </si>
  <si>
    <t>PLC Yld</t>
  </si>
  <si>
    <t>Guarantee</t>
  </si>
  <si>
    <t xml:space="preserve">Max. </t>
  </si>
  <si>
    <t>Reference</t>
  </si>
  <si>
    <t>per</t>
  </si>
  <si>
    <t xml:space="preserve">Loan </t>
  </si>
  <si>
    <t>Base Ac</t>
  </si>
  <si>
    <t>ARC-CO</t>
  </si>
  <si>
    <t>Possible</t>
  </si>
  <si>
    <t>crop in</t>
  </si>
  <si>
    <t>input</t>
  </si>
  <si>
    <t>PLC**</t>
  </si>
  <si>
    <t>Latest price projections are at:</t>
  </si>
  <si>
    <t xml:space="preserve"> - NDSU and its entities makes no warranties, either expressed or implied, concerning this program -</t>
  </si>
  <si>
    <t xml:space="preserve">National Agricultural Statistics Service (NASS) county average yields, where available, for 2015.  </t>
  </si>
  <si>
    <t>FSA county average yields used in ARC-County payment determination maybe somewhat different from NASS yields.</t>
  </si>
  <si>
    <t>Wheat*</t>
  </si>
  <si>
    <r>
      <t xml:space="preserve">*Only yields for hard red spring wheat are shown for 2015.  The ARC-County program uses the </t>
    </r>
    <r>
      <rPr>
        <u/>
        <sz val="11"/>
        <rFont val="Calibri"/>
        <family val="2"/>
        <scheme val="minor"/>
      </rPr>
      <t>all</t>
    </r>
    <r>
      <rPr>
        <sz val="11"/>
        <rFont val="Calibri"/>
        <family val="2"/>
        <scheme val="minor"/>
      </rPr>
      <t xml:space="preserve"> wheat yield, not just the HRSW yield.  </t>
    </r>
  </si>
  <si>
    <r>
      <t xml:space="preserve">**Only yields for oil sunflowers are shown for 2015.  The ARC-County program uses the </t>
    </r>
    <r>
      <rPr>
        <u/>
        <sz val="11"/>
        <rFont val="Calibri"/>
        <family val="2"/>
        <scheme val="minor"/>
      </rPr>
      <t>all</t>
    </r>
    <r>
      <rPr>
        <sz val="11"/>
        <rFont val="Calibri"/>
        <family val="2"/>
        <scheme val="minor"/>
      </rPr>
      <t xml:space="preserve"> sunflower yield, not just oil sunflowers. </t>
    </r>
  </si>
  <si>
    <t>Sunfl*</t>
  </si>
  <si>
    <t>Check the following website for program updates and further explanation:</t>
  </si>
  <si>
    <t>Safflow.</t>
  </si>
  <si>
    <t>Lg.Ckp</t>
  </si>
  <si>
    <t>Sm.Ckp</t>
  </si>
  <si>
    <t>Sunfl.</t>
  </si>
  <si>
    <t>but info</t>
  </si>
  <si>
    <t>missing</t>
  </si>
  <si>
    <t>Trigger error msg if &gt;0   -------&gt;</t>
  </si>
  <si>
    <t>error msg</t>
  </si>
  <si>
    <t>Benchmark</t>
  </si>
  <si>
    <t>BM Rev</t>
  </si>
  <si>
    <t>with</t>
  </si>
  <si>
    <t>if PLC Yld</t>
  </si>
  <si>
    <t>with Base</t>
  </si>
  <si>
    <t>all PLC</t>
  </si>
  <si>
    <t>info with</t>
  </si>
  <si>
    <t>Display</t>
  </si>
  <si>
    <t>MYA</t>
  </si>
  <si>
    <t>Total base acres</t>
  </si>
  <si>
    <t>Benchmark Yld</t>
  </si>
  <si>
    <t>BM yld</t>
  </si>
  <si>
    <t>Display in table if</t>
  </si>
  <si>
    <t>If Base</t>
  </si>
  <si>
    <t>w/o MYA</t>
  </si>
  <si>
    <t>w/o MYA,</t>
  </si>
  <si>
    <t>CoYld, or</t>
  </si>
  <si>
    <t>crop in table 2</t>
  </si>
  <si>
    <t>ARC info.</t>
  </si>
  <si>
    <t>is missing any</t>
  </si>
  <si>
    <t>err msg if base</t>
  </si>
  <si>
    <t>ARC info*</t>
  </si>
  <si>
    <t xml:space="preserve">*will display if have CoYld &amp; MYA even if BM yld is missing. </t>
  </si>
  <si>
    <t xml:space="preserve">  Error msg from missing BM yld would appear at bottom of Table 2.</t>
  </si>
  <si>
    <t xml:space="preserve">  However, missing BM yld will will cause $0 revenue guarantee. </t>
  </si>
  <si>
    <t>crop in Table 2</t>
  </si>
  <si>
    <t>err msg if Base</t>
  </si>
  <si>
    <t>PLC info.</t>
  </si>
  <si>
    <t>or PLC yld</t>
  </si>
  <si>
    <t>Beaverhead MT</t>
  </si>
  <si>
    <t>Big Horn MT</t>
  </si>
  <si>
    <t>Blaine MT</t>
  </si>
  <si>
    <t>Broadwater MT</t>
  </si>
  <si>
    <t>Carbon MT</t>
  </si>
  <si>
    <t>Carter MT</t>
  </si>
  <si>
    <t>Cascade MT</t>
  </si>
  <si>
    <t>Chouteau MT</t>
  </si>
  <si>
    <t>Custer MT</t>
  </si>
  <si>
    <t>Daniels MT</t>
  </si>
  <si>
    <t>Dawson MT</t>
  </si>
  <si>
    <t>Fallon MT</t>
  </si>
  <si>
    <t>Fergus MT</t>
  </si>
  <si>
    <t>Flathead MT</t>
  </si>
  <si>
    <t>Gallatin MT</t>
  </si>
  <si>
    <t>Garfield MT</t>
  </si>
  <si>
    <t>Glacier MT</t>
  </si>
  <si>
    <t>Golden Valley MT</t>
  </si>
  <si>
    <t>Granite MT</t>
  </si>
  <si>
    <t>Hill MT</t>
  </si>
  <si>
    <t>Jefferson MT</t>
  </si>
  <si>
    <t>Judith Basin MT</t>
  </si>
  <si>
    <t>Lake MT</t>
  </si>
  <si>
    <t>Lewis and Clark MT</t>
  </si>
  <si>
    <t>Liberty MT</t>
  </si>
  <si>
    <t>Madison MT</t>
  </si>
  <si>
    <t>McCone MT</t>
  </si>
  <si>
    <t>Meagher MT</t>
  </si>
  <si>
    <t>Missoula MT</t>
  </si>
  <si>
    <t>Musselshell MT</t>
  </si>
  <si>
    <t>Park MT</t>
  </si>
  <si>
    <t>Petroleum MT</t>
  </si>
  <si>
    <t>Phillips MT</t>
  </si>
  <si>
    <t>Pondera MT</t>
  </si>
  <si>
    <t>Powder River MT</t>
  </si>
  <si>
    <t>Powell MT</t>
  </si>
  <si>
    <t>Prairie MT</t>
  </si>
  <si>
    <t>Ravalli MT</t>
  </si>
  <si>
    <t>Richland MT</t>
  </si>
  <si>
    <t>Roosevelt MT</t>
  </si>
  <si>
    <t>Rosebud MT</t>
  </si>
  <si>
    <t>Sanders MT</t>
  </si>
  <si>
    <t>Sheridan MT</t>
  </si>
  <si>
    <t>Stillwater MT</t>
  </si>
  <si>
    <t>Sweet Grass MT</t>
  </si>
  <si>
    <t>Teton MT</t>
  </si>
  <si>
    <t>Toole MT</t>
  </si>
  <si>
    <t>Treasure MT</t>
  </si>
  <si>
    <t>Valley MT</t>
  </si>
  <si>
    <t>Wheatland MT</t>
  </si>
  <si>
    <t>Wibaux MT</t>
  </si>
  <si>
    <t>Yellowstone MT</t>
  </si>
  <si>
    <t>Aurora SD</t>
  </si>
  <si>
    <t>Beadle SD</t>
  </si>
  <si>
    <t>Bennett SD</t>
  </si>
  <si>
    <t>Bon Homme SD</t>
  </si>
  <si>
    <t>Brookings SD</t>
  </si>
  <si>
    <t>Brown SD</t>
  </si>
  <si>
    <t>Brule SD</t>
  </si>
  <si>
    <t>Buffalo SD</t>
  </si>
  <si>
    <t>Butte SD</t>
  </si>
  <si>
    <t>Campbell SD</t>
  </si>
  <si>
    <t>Charles Mix SD</t>
  </si>
  <si>
    <t>Clark SD</t>
  </si>
  <si>
    <t>Clay SD</t>
  </si>
  <si>
    <t>Codington SD</t>
  </si>
  <si>
    <t>Corson SD</t>
  </si>
  <si>
    <t>Custer SD</t>
  </si>
  <si>
    <t>Davison SD</t>
  </si>
  <si>
    <t>Day SD</t>
  </si>
  <si>
    <t>Deuel SD</t>
  </si>
  <si>
    <t>Dewey SD</t>
  </si>
  <si>
    <t>Douglas SD</t>
  </si>
  <si>
    <t>Edmunds SD</t>
  </si>
  <si>
    <t>Fall River SD</t>
  </si>
  <si>
    <t>Faulk SD</t>
  </si>
  <si>
    <t>Grant SD</t>
  </si>
  <si>
    <t>Gregory SD</t>
  </si>
  <si>
    <t>Haakon SD</t>
  </si>
  <si>
    <t>Hamlin SD</t>
  </si>
  <si>
    <t>Hand SD</t>
  </si>
  <si>
    <t>Hanson SD</t>
  </si>
  <si>
    <t>Harding SD</t>
  </si>
  <si>
    <t>Hughes SD</t>
  </si>
  <si>
    <t>Hutchinson SD</t>
  </si>
  <si>
    <t>Hyde SD</t>
  </si>
  <si>
    <t>Jackson SD</t>
  </si>
  <si>
    <t>Jerauld SD</t>
  </si>
  <si>
    <t>Jones SD</t>
  </si>
  <si>
    <t>Kingsbury SD</t>
  </si>
  <si>
    <t>Lake SD</t>
  </si>
  <si>
    <t>Lawrence SD</t>
  </si>
  <si>
    <t>Lincoln SD</t>
  </si>
  <si>
    <t>Lyman SD</t>
  </si>
  <si>
    <t>Marshall SD</t>
  </si>
  <si>
    <t>Mccook SD</t>
  </si>
  <si>
    <t>Mcpherson SD</t>
  </si>
  <si>
    <t>Meade SD</t>
  </si>
  <si>
    <t>Mellette SD</t>
  </si>
  <si>
    <t>Miner SD</t>
  </si>
  <si>
    <t>Minnehaha SD</t>
  </si>
  <si>
    <t>Moody SD</t>
  </si>
  <si>
    <t>Oglala Lakota SD</t>
  </si>
  <si>
    <t>Pennington SD</t>
  </si>
  <si>
    <t>Perkins SD</t>
  </si>
  <si>
    <t>Potter SD</t>
  </si>
  <si>
    <t>Roberts SD</t>
  </si>
  <si>
    <t>Sanborn SD</t>
  </si>
  <si>
    <t>Spink SD</t>
  </si>
  <si>
    <t>Stanley SD</t>
  </si>
  <si>
    <t>Sully SD</t>
  </si>
  <si>
    <t>Todd SD</t>
  </si>
  <si>
    <t>Tripp SD</t>
  </si>
  <si>
    <t>Turner SD</t>
  </si>
  <si>
    <t>Union SD</t>
  </si>
  <si>
    <t>Walworth SD</t>
  </si>
  <si>
    <t>Yankton SD</t>
  </si>
  <si>
    <t>Ziebach SD</t>
  </si>
  <si>
    <t>4=South Dakota</t>
  </si>
  <si>
    <t>Montana</t>
  </si>
  <si>
    <t>South Dakota</t>
  </si>
  <si>
    <t>2=Montana</t>
  </si>
  <si>
    <t>3=North Dakota</t>
  </si>
  <si>
    <t>to trigger MN, MT, ND or SD county picklist:</t>
  </si>
  <si>
    <t xml:space="preserve">  *Benchmark Revenue is benchmark yield times benchmark price.  See table below for explanation of benchmark yield and price.</t>
  </si>
  <si>
    <t>Benchmk</t>
  </si>
  <si>
    <t>Yield*</t>
  </si>
  <si>
    <t>times</t>
  </si>
  <si>
    <t>(Pmt Rate x .85 x Base)</t>
  </si>
  <si>
    <t>Price**</t>
  </si>
  <si>
    <t>https://www.fsa.usda.gov/programs-and-services/arcplc_program/arcplc-program-data/index</t>
  </si>
  <si>
    <t>Effective</t>
  </si>
  <si>
    <t>**PLC payment rate is reference price minus higher of national MYA price or national loan rate. It is applied to the farm's PLC payment yield.</t>
  </si>
  <si>
    <t/>
  </si>
  <si>
    <t>https://www.ndsu.edu/agriculture/ag-hub/ag-topics/farm-management</t>
  </si>
  <si>
    <t>ND, MN, MT and SD  ARC-CO TREND ADJUSTED (county yield or 80% of T), FOR CALCULATION OF 2024 BENCHMARK YIELDS</t>
  </si>
  <si>
    <t>NDSU Extension</t>
  </si>
  <si>
    <t>Total payments may be subject to USDA limitation.</t>
  </si>
  <si>
    <t>Originally developed by: Andrew Swenson, Department of Agribusiness and Applied Economics</t>
  </si>
  <si>
    <t>*Enter 'Base Acres' and PLC payment yields, and estimated 2025 county average yield and national marketing year average (MYA) price.</t>
  </si>
  <si>
    <r>
      <t xml:space="preserve">2026 ARC-PLC CALCULATOR  </t>
    </r>
    <r>
      <rPr>
        <sz val="10"/>
        <rFont val="Arial"/>
        <family val="2"/>
      </rPr>
      <t>(for MN, MT, ND and SD)</t>
    </r>
  </si>
  <si>
    <t>Updated with FSA data dated 1-16-26</t>
  </si>
  <si>
    <t xml:space="preserve"> Enter different 2026 county average yield and MYA price scenarios to evaluate ARC-CO and PLC.  See table below for explanations.</t>
  </si>
  <si>
    <t>Table 2. Projected 2026 ARC-CO and PLC Payment Rates for Crops with Base Acres</t>
  </si>
  <si>
    <t>Est. 2026</t>
  </si>
  <si>
    <r>
      <t xml:space="preserve">    Revenue Guarantee i</t>
    </r>
    <r>
      <rPr>
        <sz val="9"/>
        <color theme="1"/>
        <rFont val="Calibri"/>
        <family val="2"/>
        <scheme val="minor"/>
      </rPr>
      <t>s 90%</t>
    </r>
    <r>
      <rPr>
        <sz val="9"/>
        <rFont val="Calibri"/>
        <family val="2"/>
        <scheme val="minor"/>
      </rPr>
      <t xml:space="preserve"> of Benchmark Revenue. Actual Revenue is current year (2026) county average yield x nat'l marketing year avg price.</t>
    </r>
  </si>
  <si>
    <r>
      <t xml:space="preserve">    Payment rate is revenue guarantee minus actual revenue.  Payment rate is capped at</t>
    </r>
    <r>
      <rPr>
        <sz val="9"/>
        <color theme="1"/>
        <rFont val="Calibri"/>
        <family val="2"/>
        <scheme val="minor"/>
      </rPr>
      <t xml:space="preserve"> 12%</t>
    </r>
    <r>
      <rPr>
        <sz val="9"/>
        <color rgb="FFFF0000"/>
        <rFont val="Calibri"/>
        <family val="2"/>
        <scheme val="minor"/>
      </rPr>
      <t xml:space="preserve"> </t>
    </r>
    <r>
      <rPr>
        <sz val="9"/>
        <rFont val="Calibri"/>
        <family val="2"/>
        <scheme val="minor"/>
      </rPr>
      <t xml:space="preserve">of benchmark revenue.   </t>
    </r>
  </si>
  <si>
    <t xml:space="preserve">  *Benchmark yield for 2026 is 5-year, 2020-2024, Olympic average of higher of trend adjusted county yield or 80% of county T yield.</t>
  </si>
  <si>
    <t>**Benchmark price for 2026 is 5-year, 2020-2024, Olympic average of the higher of national MYA price or reference price.</t>
  </si>
  <si>
    <t>Estimated 2026</t>
  </si>
  <si>
    <t>ND, MN, MT &amp; SD   2026 ARC-CO Benchmark Yields</t>
  </si>
  <si>
    <t>Updated by: Ron Haugen, Extension Farm Management Specialist, Department of Agribusiness and Applied Economics</t>
  </si>
  <si>
    <t>Producers can enroll in a revenue protection program, Agricultural Risk Coverage (ARC) at the county or individual farm level,</t>
  </si>
  <si>
    <t>or a price protection program, Price Loss Coverage (PLC). The enrollment decision of ARC-county or PLC is made on</t>
  </si>
  <si>
    <t>a crop by crop basis within each FSA farm number annually. This calculator will estimate a producer's ARC county and PLC</t>
  </si>
  <si>
    <t xml:space="preserve">for only the 2026 crop year given their national marketing year average (MYA) price and  average county yield projections for 2026.  </t>
  </si>
  <si>
    <r>
      <rPr>
        <b/>
        <sz val="10"/>
        <color theme="1"/>
        <rFont val="Arial"/>
        <family val="2"/>
      </rPr>
      <t>Note</t>
    </r>
    <r>
      <rPr>
        <sz val="10"/>
        <color theme="1"/>
        <rFont val="Arial"/>
        <family val="2"/>
      </rPr>
      <t>: The calculator is only applicable for farms which have all base acres physically located in one county. If county has Historic Irrigated</t>
    </r>
  </si>
  <si>
    <t>Crambe</t>
  </si>
  <si>
    <t>Rapeseed</t>
  </si>
  <si>
    <t>Version 26.02.05</t>
  </si>
  <si>
    <t>Percentage (HIP), ARC-CO calculation uses only non-irrigated yields.  Sesame, Cotton and Rice program crops are not included.</t>
  </si>
  <si>
    <t>Jane Farmer</t>
  </si>
  <si>
    <t>Total est. choosing</t>
  </si>
  <si>
    <t>max ARC-PLC by crop</t>
  </si>
  <si>
    <r>
      <t xml:space="preserve">INPUT CELLS ARE YELLOW:   2O26 NAT'L MYA PRICE ESTIMATES ARE ENTERED AS A </t>
    </r>
    <r>
      <rPr>
        <u/>
        <sz val="10"/>
        <color theme="1"/>
        <rFont val="Arial"/>
        <family val="2"/>
      </rPr>
      <t>GUIDE</t>
    </r>
    <r>
      <rPr>
        <sz val="10"/>
        <color theme="1"/>
        <rFont val="Arial"/>
        <family val="2"/>
      </rPr>
      <t>, THEY CAN BE OVERRIDDEN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</si>
</sst>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3" formatCode="_(* #,##0.00_);_(* \(#,##0.00\);_(* &quot;-&quot;??_);_(@_)"/>
    <numFmt numFmtId="164" formatCode="0.0"/>
    <numFmt numFmtId="165" formatCode="0.0000"/>
    <numFmt numFmtId="166" formatCode="_(* #,##0.0000_);_(* \(#,##0.0000\);_(* &quot;-&quot;????_);_(@_)"/>
    <numFmt numFmtId="167" formatCode="#,##0.0000_);[Red]\(#,##0.0000\)"/>
    <numFmt numFmtId="168" formatCode="0.000"/>
  </numFmts>
  <fonts count="35" x14ac:knownFonts="1">
    <font>
      <sz val="11"/>
      <color theme="1"/>
      <name val="Calibri"/>
      <family val="2"/>
      <scheme val="minor"/>
    </font>
    <font>
      <sz val="10"/>
      <name val="Arial"/>
      <family val="2"/>
    </font>
    <font>
      <sz val="10"/>
      <name val="MS Sans Serif"/>
      <family val="2"/>
    </font>
    <font>
      <sz val="10"/>
      <name val="Arial"/>
      <family val="2"/>
    </font>
    <font>
      <b/>
      <sz val="10"/>
      <name val="Arial"/>
      <family val="2"/>
    </font>
    <font>
      <sz val="9"/>
      <name val="Arial"/>
      <family val="2"/>
    </font>
    <font>
      <sz val="11"/>
      <name val="Calibri"/>
      <family val="2"/>
      <scheme val="minor"/>
    </font>
    <font>
      <b/>
      <sz val="11"/>
      <name val="Calibri"/>
      <family val="2"/>
      <scheme val="minor"/>
    </font>
    <font>
      <b/>
      <sz val="10"/>
      <color rgb="FF0033CC"/>
      <name val="Arial"/>
      <family val="2"/>
    </font>
    <font>
      <sz val="11"/>
      <color rgb="FFFF3300"/>
      <name val="Calibri"/>
      <family val="2"/>
      <scheme val="minor"/>
    </font>
    <font>
      <i/>
      <sz val="9"/>
      <color theme="1"/>
      <name val="Calibri"/>
      <family val="2"/>
      <scheme val="minor"/>
    </font>
    <font>
      <i/>
      <sz val="11"/>
      <color rgb="FFFF0000"/>
      <name val="Calibri"/>
      <family val="2"/>
      <scheme val="minor"/>
    </font>
    <font>
      <i/>
      <sz val="11"/>
      <color theme="1"/>
      <name val="Calibri"/>
      <family val="2"/>
      <scheme val="minor"/>
    </font>
    <font>
      <sz val="11"/>
      <name val="Arial"/>
      <family val="2"/>
    </font>
    <font>
      <sz val="10"/>
      <color theme="1"/>
      <name val="Arial"/>
      <family val="2"/>
    </font>
    <font>
      <b/>
      <sz val="10"/>
      <color theme="1"/>
      <name val="Arial"/>
      <family val="2"/>
    </font>
    <font>
      <sz val="9"/>
      <name val="Calibri"/>
      <family val="2"/>
      <scheme val="minor"/>
    </font>
    <font>
      <sz val="11"/>
      <color theme="1"/>
      <name val="Calibri"/>
      <family val="2"/>
      <scheme val="minor"/>
    </font>
    <font>
      <u/>
      <sz val="11"/>
      <color theme="10"/>
      <name val="Calibri"/>
      <family val="2"/>
      <scheme val="minor"/>
    </font>
    <font>
      <i/>
      <sz val="10"/>
      <color theme="1"/>
      <name val="Arial"/>
      <family val="2"/>
    </font>
    <font>
      <sz val="10"/>
      <color theme="1"/>
      <name val="Calibri"/>
      <family val="2"/>
      <scheme val="minor"/>
    </font>
    <font>
      <b/>
      <sz val="11"/>
      <color theme="1"/>
      <name val="Arial"/>
      <family val="2"/>
    </font>
    <font>
      <sz val="11"/>
      <color theme="1"/>
      <name val="Arial"/>
      <family val="2"/>
    </font>
    <font>
      <sz val="9"/>
      <color theme="1"/>
      <name val="Calibri"/>
      <family val="2"/>
      <scheme val="minor"/>
    </font>
    <font>
      <u/>
      <sz val="11"/>
      <name val="Calibri"/>
      <family val="2"/>
      <scheme val="minor"/>
    </font>
    <font>
      <sz val="12"/>
      <color theme="1"/>
      <name val="Arial"/>
      <family val="2"/>
    </font>
    <font>
      <i/>
      <sz val="9.5"/>
      <color theme="1"/>
      <name val="Calibri"/>
      <family val="2"/>
      <scheme val="minor"/>
    </font>
    <font>
      <sz val="10.5"/>
      <name val="Calibri"/>
      <family val="2"/>
      <scheme val="minor"/>
    </font>
    <font>
      <sz val="12"/>
      <name val="Calibri"/>
      <family val="2"/>
      <scheme val="minor"/>
    </font>
    <font>
      <sz val="12"/>
      <color theme="1"/>
      <name val="Calibri"/>
      <family val="2"/>
      <scheme val="minor"/>
    </font>
    <font>
      <sz val="11"/>
      <color rgb="FFFF0000"/>
      <name val="Calibri"/>
      <family val="2"/>
      <scheme val="minor"/>
    </font>
    <font>
      <b/>
      <sz val="11"/>
      <color theme="1"/>
      <name val="Calibri"/>
      <family val="2"/>
      <scheme val="minor"/>
    </font>
    <font>
      <u/>
      <sz val="10"/>
      <color theme="1"/>
      <name val="Arial"/>
      <family val="2"/>
    </font>
    <font>
      <sz val="11"/>
      <color rgb="FF7030A0"/>
      <name val="Calibri"/>
      <family val="2"/>
      <scheme val="minor"/>
    </font>
    <font>
      <sz val="9"/>
      <color rgb="FFFF0000"/>
      <name val="Calibri"/>
      <family val="2"/>
      <scheme val="minor"/>
    </font>
  </fonts>
  <fills count="7">
    <fill>
      <patternFill patternType="none"/>
    </fill>
    <fill>
      <patternFill patternType="gray125"/>
    </fill>
    <fill>
      <patternFill patternType="solid">
        <fgColor theme="3" tint="0.79998168889431442"/>
        <bgColor indexed="64"/>
      </patternFill>
    </fill>
    <fill>
      <patternFill patternType="solid">
        <fgColor rgb="FFFFFFCC"/>
        <bgColor indexed="64"/>
      </patternFill>
    </fill>
    <fill>
      <patternFill patternType="solid">
        <fgColor theme="0"/>
        <bgColor indexed="64"/>
      </patternFill>
    </fill>
    <fill>
      <patternFill patternType="solid">
        <fgColor theme="4" tint="0.79998168889431442"/>
        <bgColor indexed="64"/>
      </patternFill>
    </fill>
    <fill>
      <patternFill patternType="solid">
        <fgColor rgb="FFFFFF99"/>
        <bgColor indexed="64"/>
      </patternFill>
    </fill>
  </fills>
  <borders count="70">
    <border>
      <left/>
      <right/>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0" fontId="2" fillId="0" borderId="0"/>
    <xf numFmtId="0" fontId="18" fillId="0" borderId="0" applyNumberFormat="0" applyFill="0" applyBorder="0" applyAlignment="0" applyProtection="0"/>
    <xf numFmtId="43" fontId="17" fillId="0" borderId="0" applyFont="0" applyFill="0" applyBorder="0" applyAlignment="0" applyProtection="0"/>
  </cellStyleXfs>
  <cellXfs count="449">
    <xf numFmtId="0" fontId="0" fillId="0" borderId="0" xfId="0"/>
    <xf numFmtId="0" fontId="1" fillId="0" borderId="0" xfId="0" applyFont="1"/>
    <xf numFmtId="0" fontId="0" fillId="0" borderId="0" xfId="0" applyBorder="1"/>
    <xf numFmtId="0" fontId="4" fillId="0" borderId="0" xfId="0" applyFont="1" applyAlignment="1" applyProtection="1"/>
    <xf numFmtId="0" fontId="0" fillId="0" borderId="0" xfId="0" applyProtection="1"/>
    <xf numFmtId="0" fontId="4" fillId="0" borderId="0" xfId="0" applyFont="1" applyProtection="1"/>
    <xf numFmtId="0" fontId="0" fillId="0" borderId="17" xfId="0" applyBorder="1"/>
    <xf numFmtId="0" fontId="0" fillId="0" borderId="26" xfId="0" applyBorder="1"/>
    <xf numFmtId="0" fontId="0" fillId="0" borderId="29" xfId="0" applyBorder="1"/>
    <xf numFmtId="0" fontId="0" fillId="0" borderId="27" xfId="0" applyBorder="1"/>
    <xf numFmtId="0" fontId="0" fillId="0" borderId="0" xfId="0" applyBorder="1" applyAlignment="1">
      <alignment horizontal="center"/>
    </xf>
    <xf numFmtId="0" fontId="0" fillId="0" borderId="0" xfId="0" quotePrefix="1"/>
    <xf numFmtId="0" fontId="0" fillId="0" borderId="22" xfId="0" applyBorder="1"/>
    <xf numFmtId="0" fontId="0" fillId="0" borderId="0" xfId="0" applyFont="1"/>
    <xf numFmtId="0" fontId="0" fillId="0" borderId="20" xfId="0" applyBorder="1"/>
    <xf numFmtId="0" fontId="0" fillId="0" borderId="28" xfId="0" applyBorder="1"/>
    <xf numFmtId="0" fontId="0" fillId="0" borderId="29" xfId="0" quotePrefix="1" applyBorder="1"/>
    <xf numFmtId="0" fontId="0" fillId="0" borderId="25" xfId="0" applyBorder="1"/>
    <xf numFmtId="0" fontId="0" fillId="2" borderId="26" xfId="0" applyFill="1" applyBorder="1" applyProtection="1"/>
    <xf numFmtId="0" fontId="0" fillId="2" borderId="25" xfId="0" applyFill="1" applyBorder="1" applyProtection="1"/>
    <xf numFmtId="0" fontId="9" fillId="0" borderId="0" xfId="0" quotePrefix="1" applyFont="1"/>
    <xf numFmtId="0" fontId="9" fillId="0" borderId="0" xfId="0" applyFont="1" applyProtection="1"/>
    <xf numFmtId="0" fontId="12" fillId="0" borderId="0" xfId="0" applyFont="1"/>
    <xf numFmtId="0" fontId="14" fillId="0" borderId="0" xfId="0" applyFont="1"/>
    <xf numFmtId="0" fontId="15" fillId="0" borderId="0" xfId="0" applyFont="1"/>
    <xf numFmtId="0" fontId="10" fillId="0" borderId="0" xfId="0" quotePrefix="1" applyFont="1" applyProtection="1"/>
    <xf numFmtId="0" fontId="16" fillId="4" borderId="0" xfId="0" quotePrefix="1" applyFont="1" applyFill="1" applyBorder="1" applyProtection="1"/>
    <xf numFmtId="0" fontId="0" fillId="0" borderId="0" xfId="0" quotePrefix="1" applyNumberFormat="1" applyBorder="1" applyProtection="1"/>
    <xf numFmtId="0" fontId="6" fillId="0" borderId="0" xfId="1" applyFont="1" applyBorder="1"/>
    <xf numFmtId="0" fontId="0" fillId="2" borderId="18" xfId="0" applyFill="1" applyBorder="1" applyAlignment="1">
      <alignment horizontal="center"/>
    </xf>
    <xf numFmtId="3" fontId="0" fillId="0" borderId="0" xfId="0" applyNumberFormat="1" applyFont="1" applyFill="1" applyBorder="1"/>
    <xf numFmtId="3" fontId="0" fillId="0" borderId="6" xfId="0" applyNumberFormat="1" applyFont="1" applyFill="1" applyBorder="1"/>
    <xf numFmtId="3" fontId="0" fillId="0" borderId="8" xfId="0" applyNumberFormat="1" applyFont="1" applyFill="1" applyBorder="1"/>
    <xf numFmtId="3" fontId="0" fillId="0" borderId="9" xfId="0" applyNumberFormat="1" applyFont="1" applyFill="1" applyBorder="1"/>
    <xf numFmtId="0" fontId="0" fillId="0" borderId="27" xfId="0" quotePrefix="1" applyBorder="1"/>
    <xf numFmtId="3" fontId="0" fillId="0" borderId="0" xfId="3" applyNumberFormat="1" applyFont="1" applyFill="1" applyBorder="1"/>
    <xf numFmtId="3" fontId="6" fillId="0" borderId="0" xfId="0" applyNumberFormat="1" applyFont="1" applyFill="1" applyBorder="1"/>
    <xf numFmtId="3" fontId="0" fillId="0" borderId="8" xfId="3" applyNumberFormat="1" applyFont="1" applyFill="1" applyBorder="1"/>
    <xf numFmtId="3" fontId="6" fillId="0" borderId="8" xfId="0" applyNumberFormat="1" applyFont="1" applyFill="1" applyBorder="1"/>
    <xf numFmtId="0" fontId="19" fillId="0" borderId="0" xfId="0" quotePrefix="1" applyFont="1" applyBorder="1" applyAlignment="1">
      <alignment horizontal="center"/>
    </xf>
    <xf numFmtId="0" fontId="19" fillId="0" borderId="0" xfId="0" quotePrefix="1" applyFont="1" applyBorder="1" applyAlignment="1">
      <alignment horizontal="left"/>
    </xf>
    <xf numFmtId="0" fontId="21" fillId="0" borderId="0" xfId="0" applyFont="1"/>
    <xf numFmtId="0" fontId="0" fillId="0" borderId="17" xfId="0" applyBorder="1" applyAlignment="1">
      <alignment horizontal="center"/>
    </xf>
    <xf numFmtId="41" fontId="0" fillId="3" borderId="18" xfId="0" applyNumberFormat="1" applyFill="1" applyBorder="1" applyProtection="1">
      <protection locked="0"/>
    </xf>
    <xf numFmtId="41" fontId="0" fillId="3" borderId="18" xfId="0" quotePrefix="1" applyNumberFormat="1" applyFill="1" applyBorder="1" applyAlignment="1" applyProtection="1">
      <alignment horizontal="right"/>
      <protection locked="0"/>
    </xf>
    <xf numFmtId="0" fontId="16" fillId="4" borderId="0" xfId="0" quotePrefix="1" applyFont="1" applyFill="1" applyBorder="1" applyAlignment="1" applyProtection="1"/>
    <xf numFmtId="0" fontId="5" fillId="0" borderId="0" xfId="0" quotePrefix="1" applyFont="1" applyAlignment="1" applyProtection="1">
      <alignment horizontal="left"/>
    </xf>
    <xf numFmtId="0" fontId="5" fillId="0" borderId="0" xfId="0" applyFont="1" applyProtection="1"/>
    <xf numFmtId="0" fontId="5" fillId="0" borderId="0" xfId="0" quotePrefix="1" applyFont="1" applyAlignment="1" applyProtection="1"/>
    <xf numFmtId="0" fontId="0" fillId="0" borderId="0" xfId="0" quotePrefix="1" applyAlignment="1" applyProtection="1">
      <alignment horizontal="left"/>
    </xf>
    <xf numFmtId="0" fontId="0" fillId="0" borderId="0" xfId="0" quotePrefix="1" applyAlignment="1" applyProtection="1"/>
    <xf numFmtId="0" fontId="11" fillId="0" borderId="0" xfId="0" quotePrefix="1" applyFont="1" applyProtection="1"/>
    <xf numFmtId="0" fontId="13" fillId="0" borderId="0" xfId="0" quotePrefix="1" applyFont="1" applyAlignment="1" applyProtection="1">
      <alignment horizontal="left"/>
    </xf>
    <xf numFmtId="0" fontId="13" fillId="0" borderId="0" xfId="0" applyFont="1" applyProtection="1"/>
    <xf numFmtId="0" fontId="13" fillId="0" borderId="0" xfId="0" applyFont="1" applyAlignment="1" applyProtection="1">
      <alignment horizontal="center"/>
    </xf>
    <xf numFmtId="0" fontId="16" fillId="0" borderId="0" xfId="0" quotePrefix="1" applyFont="1" applyAlignment="1" applyProtection="1">
      <alignment horizontal="left"/>
    </xf>
    <xf numFmtId="0" fontId="16" fillId="0" borderId="0" xfId="0" applyFont="1" applyProtection="1"/>
    <xf numFmtId="0" fontId="0" fillId="0" borderId="0" xfId="0" applyFont="1" applyProtection="1"/>
    <xf numFmtId="0" fontId="0" fillId="0" borderId="25" xfId="0" applyFill="1" applyBorder="1"/>
    <xf numFmtId="43" fontId="0" fillId="0" borderId="25" xfId="0" applyNumberFormat="1" applyFill="1" applyBorder="1" applyProtection="1"/>
    <xf numFmtId="0" fontId="1" fillId="0" borderId="0" xfId="0" applyFont="1" applyBorder="1" applyAlignment="1" applyProtection="1">
      <alignment horizontal="center"/>
    </xf>
    <xf numFmtId="43" fontId="0" fillId="0" borderId="20" xfId="0" applyNumberFormat="1" applyBorder="1" applyAlignment="1" applyProtection="1"/>
    <xf numFmtId="43" fontId="0" fillId="0" borderId="21" xfId="0" applyNumberFormat="1" applyFill="1" applyBorder="1" applyProtection="1"/>
    <xf numFmtId="0" fontId="0" fillId="0" borderId="17" xfId="0" quotePrefix="1" applyBorder="1"/>
    <xf numFmtId="0" fontId="0" fillId="0" borderId="26" xfId="0" quotePrefix="1" applyBorder="1"/>
    <xf numFmtId="0" fontId="0" fillId="0" borderId="25" xfId="0" quotePrefix="1" applyBorder="1"/>
    <xf numFmtId="0" fontId="0" fillId="2" borderId="17" xfId="0" applyFill="1" applyBorder="1" applyProtection="1"/>
    <xf numFmtId="0" fontId="0" fillId="0" borderId="26" xfId="0" applyFill="1" applyBorder="1" applyAlignment="1">
      <alignment horizontal="center"/>
    </xf>
    <xf numFmtId="0" fontId="0" fillId="0" borderId="25" xfId="0" applyFill="1" applyBorder="1" applyAlignment="1">
      <alignment horizontal="center"/>
    </xf>
    <xf numFmtId="0" fontId="0" fillId="0" borderId="17" xfId="0" applyFill="1" applyBorder="1"/>
    <xf numFmtId="2" fontId="0" fillId="0" borderId="26" xfId="0" applyNumberFormat="1" applyBorder="1"/>
    <xf numFmtId="2" fontId="0" fillId="0" borderId="26" xfId="0" applyNumberFormat="1" applyFill="1" applyBorder="1"/>
    <xf numFmtId="165" fontId="0" fillId="0" borderId="26" xfId="0" applyNumberFormat="1" applyBorder="1"/>
    <xf numFmtId="165" fontId="0" fillId="0" borderId="25" xfId="0" applyNumberFormat="1" applyBorder="1"/>
    <xf numFmtId="0" fontId="1" fillId="0" borderId="0" xfId="0" applyFont="1" applyBorder="1" applyProtection="1"/>
    <xf numFmtId="0" fontId="1" fillId="0" borderId="0" xfId="0" quotePrefix="1" applyFont="1" applyBorder="1" applyAlignment="1" applyProtection="1">
      <alignment horizontal="left"/>
    </xf>
    <xf numFmtId="0" fontId="20" fillId="0" borderId="0" xfId="0" applyFont="1" applyProtection="1"/>
    <xf numFmtId="43" fontId="0" fillId="0" borderId="25" xfId="0" applyNumberFormat="1" applyBorder="1" applyProtection="1"/>
    <xf numFmtId="0" fontId="5" fillId="4" borderId="0" xfId="0" quotePrefix="1" applyFont="1" applyFill="1" applyBorder="1" applyAlignment="1" applyProtection="1"/>
    <xf numFmtId="0" fontId="5" fillId="4" borderId="0" xfId="0" applyFont="1" applyFill="1" applyBorder="1" applyAlignment="1" applyProtection="1"/>
    <xf numFmtId="164" fontId="5" fillId="0" borderId="0" xfId="0" applyNumberFormat="1" applyFont="1" applyBorder="1" applyAlignment="1" applyProtection="1">
      <alignment horizontal="center"/>
    </xf>
    <xf numFmtId="0" fontId="0" fillId="0" borderId="0" xfId="0" applyFill="1" applyBorder="1" applyProtection="1"/>
    <xf numFmtId="43" fontId="0" fillId="0" borderId="0" xfId="0" applyNumberFormat="1" applyFill="1" applyBorder="1" applyAlignment="1" applyProtection="1"/>
    <xf numFmtId="0" fontId="12" fillId="0" borderId="0" xfId="0" applyFont="1" applyFill="1" applyBorder="1" applyProtection="1"/>
    <xf numFmtId="43" fontId="0" fillId="0" borderId="41" xfId="0" applyNumberFormat="1" applyBorder="1" applyProtection="1"/>
    <xf numFmtId="0" fontId="22" fillId="0" borderId="0" xfId="0" applyNumberFormat="1" applyFont="1" applyFill="1" applyBorder="1" applyProtection="1"/>
    <xf numFmtId="0" fontId="22" fillId="0" borderId="0" xfId="0" applyFont="1"/>
    <xf numFmtId="0" fontId="23" fillId="0" borderId="0" xfId="0" quotePrefix="1" applyFont="1" applyProtection="1"/>
    <xf numFmtId="0" fontId="23" fillId="4" borderId="0" xfId="0" quotePrefix="1" applyFont="1" applyFill="1"/>
    <xf numFmtId="0" fontId="0" fillId="0" borderId="6" xfId="0" applyBorder="1"/>
    <xf numFmtId="0" fontId="0" fillId="0" borderId="9" xfId="0" applyBorder="1"/>
    <xf numFmtId="0" fontId="0" fillId="0" borderId="5" xfId="0" quotePrefix="1" applyNumberFormat="1" applyBorder="1" applyProtection="1"/>
    <xf numFmtId="0" fontId="0" fillId="0" borderId="8" xfId="0" applyBorder="1"/>
    <xf numFmtId="0" fontId="23" fillId="0" borderId="0" xfId="0" applyFont="1"/>
    <xf numFmtId="0" fontId="10" fillId="0" borderId="0" xfId="0" applyFont="1"/>
    <xf numFmtId="0" fontId="0" fillId="0" borderId="46" xfId="0" applyBorder="1"/>
    <xf numFmtId="164" fontId="0" fillId="0" borderId="0" xfId="0" applyNumberFormat="1" applyFill="1" applyBorder="1"/>
    <xf numFmtId="164" fontId="0" fillId="0" borderId="0" xfId="3" applyNumberFormat="1" applyFont="1" applyFill="1" applyBorder="1"/>
    <xf numFmtId="164" fontId="0" fillId="0" borderId="5" xfId="0" applyNumberFormat="1" applyFill="1" applyBorder="1"/>
    <xf numFmtId="164" fontId="0" fillId="0" borderId="0" xfId="3" applyNumberFormat="1" applyFont="1" applyFill="1" applyBorder="1" applyAlignment="1">
      <alignment horizontal="left"/>
    </xf>
    <xf numFmtId="164" fontId="0" fillId="0" borderId="7" xfId="0" applyNumberFormat="1" applyFill="1" applyBorder="1"/>
    <xf numFmtId="164" fontId="0" fillId="0" borderId="8" xfId="3" applyNumberFormat="1" applyFont="1" applyFill="1" applyBorder="1"/>
    <xf numFmtId="0" fontId="0" fillId="0" borderId="1" xfId="0" applyBorder="1"/>
    <xf numFmtId="0" fontId="0" fillId="0" borderId="5" xfId="0" applyBorder="1"/>
    <xf numFmtId="0" fontId="0" fillId="0" borderId="0" xfId="0" applyFill="1" applyBorder="1"/>
    <xf numFmtId="0" fontId="0" fillId="0" borderId="7" xfId="0" applyBorder="1"/>
    <xf numFmtId="0" fontId="0" fillId="0" borderId="7" xfId="0" quotePrefix="1" applyNumberFormat="1" applyBorder="1" applyProtection="1"/>
    <xf numFmtId="0" fontId="6" fillId="0" borderId="5" xfId="1" applyFont="1" applyBorder="1"/>
    <xf numFmtId="0" fontId="6" fillId="0" borderId="7" xfId="1" applyFont="1" applyBorder="1"/>
    <xf numFmtId="164" fontId="0" fillId="0" borderId="8" xfId="0" applyNumberFormat="1" applyFill="1" applyBorder="1"/>
    <xf numFmtId="0" fontId="0" fillId="0" borderId="1" xfId="0" applyNumberFormat="1" applyFill="1" applyBorder="1" applyProtection="1"/>
    <xf numFmtId="0" fontId="0" fillId="0" borderId="1" xfId="0" applyFill="1" applyBorder="1" applyProtection="1"/>
    <xf numFmtId="0" fontId="0" fillId="0" borderId="47" xfId="0" applyFill="1" applyBorder="1" applyProtection="1"/>
    <xf numFmtId="0" fontId="2" fillId="0" borderId="48" xfId="0" applyNumberFormat="1" applyFont="1" applyFill="1" applyBorder="1" applyAlignment="1" applyProtection="1">
      <alignment horizontal="center" wrapText="1"/>
    </xf>
    <xf numFmtId="0" fontId="2" fillId="0" borderId="43" xfId="0" applyNumberFormat="1" applyFont="1" applyFill="1" applyBorder="1" applyAlignment="1" applyProtection="1">
      <alignment horizontal="center" wrapText="1"/>
    </xf>
    <xf numFmtId="164" fontId="0" fillId="0" borderId="1" xfId="0" applyNumberFormat="1" applyFill="1" applyBorder="1"/>
    <xf numFmtId="164" fontId="6" fillId="0" borderId="1" xfId="0" applyNumberFormat="1" applyFont="1" applyFill="1" applyBorder="1"/>
    <xf numFmtId="164" fontId="0" fillId="0" borderId="1" xfId="3" applyNumberFormat="1" applyFont="1" applyFill="1" applyBorder="1"/>
    <xf numFmtId="3" fontId="0" fillId="0" borderId="1" xfId="3" applyNumberFormat="1" applyFont="1" applyFill="1" applyBorder="1"/>
    <xf numFmtId="3" fontId="0" fillId="0" borderId="1" xfId="0" applyNumberFormat="1" applyFont="1" applyFill="1" applyBorder="1"/>
    <xf numFmtId="3" fontId="6" fillId="0" borderId="1" xfId="0" applyNumberFormat="1" applyFont="1" applyFill="1" applyBorder="1"/>
    <xf numFmtId="3" fontId="0" fillId="0" borderId="47" xfId="0" applyNumberFormat="1" applyFont="1" applyFill="1" applyBorder="1"/>
    <xf numFmtId="0" fontId="0" fillId="0" borderId="16" xfId="0" applyBorder="1"/>
    <xf numFmtId="0" fontId="0" fillId="0" borderId="34" xfId="0" applyBorder="1"/>
    <xf numFmtId="0" fontId="6" fillId="0" borderId="5" xfId="1" quotePrefix="1" applyFont="1" applyFill="1" applyBorder="1"/>
    <xf numFmtId="0" fontId="0" fillId="0" borderId="1" xfId="0" applyBorder="1" applyProtection="1"/>
    <xf numFmtId="3" fontId="0" fillId="0" borderId="0" xfId="0" applyNumberFormat="1"/>
    <xf numFmtId="0" fontId="6" fillId="0" borderId="46" xfId="1" applyFont="1" applyBorder="1"/>
    <xf numFmtId="0" fontId="0" fillId="0" borderId="47" xfId="0" applyBorder="1"/>
    <xf numFmtId="0" fontId="6" fillId="0" borderId="1" xfId="0" applyFont="1" applyFill="1" applyBorder="1" applyProtection="1"/>
    <xf numFmtId="0" fontId="0" fillId="4" borderId="0" xfId="0" applyFill="1" applyBorder="1" applyAlignment="1"/>
    <xf numFmtId="0" fontId="25" fillId="4" borderId="0" xfId="0" applyFont="1" applyFill="1" applyBorder="1" applyAlignment="1"/>
    <xf numFmtId="0" fontId="0" fillId="5" borderId="36" xfId="0" quotePrefix="1" applyNumberFormat="1" applyFill="1" applyBorder="1" applyProtection="1"/>
    <xf numFmtId="0" fontId="0" fillId="5" borderId="54" xfId="0" quotePrefix="1" applyNumberFormat="1" applyFill="1" applyBorder="1" applyProtection="1"/>
    <xf numFmtId="0" fontId="0" fillId="5" borderId="45" xfId="0" quotePrefix="1" applyNumberFormat="1" applyFill="1" applyBorder="1" applyProtection="1"/>
    <xf numFmtId="0" fontId="6" fillId="5" borderId="54" xfId="1" applyFont="1" applyFill="1" applyBorder="1"/>
    <xf numFmtId="0" fontId="6" fillId="5" borderId="45" xfId="1" applyFont="1" applyFill="1" applyBorder="1"/>
    <xf numFmtId="0" fontId="0" fillId="5" borderId="30" xfId="0" applyFill="1" applyBorder="1" applyAlignment="1" applyProtection="1">
      <alignment horizontal="center"/>
    </xf>
    <xf numFmtId="0" fontId="0" fillId="5" borderId="55" xfId="0" applyNumberFormat="1" applyFill="1" applyBorder="1" applyAlignment="1" applyProtection="1">
      <alignment horizontal="center"/>
    </xf>
    <xf numFmtId="0" fontId="0" fillId="5" borderId="55" xfId="0" applyFill="1" applyBorder="1" applyAlignment="1" applyProtection="1">
      <alignment horizontal="center"/>
    </xf>
    <xf numFmtId="0" fontId="6" fillId="5" borderId="55" xfId="0" applyFont="1" applyFill="1" applyBorder="1" applyAlignment="1" applyProtection="1">
      <alignment horizontal="center"/>
    </xf>
    <xf numFmtId="0" fontId="0" fillId="5" borderId="42" xfId="0" applyFill="1" applyBorder="1" applyAlignment="1" applyProtection="1">
      <alignment horizontal="center"/>
    </xf>
    <xf numFmtId="0" fontId="0" fillId="5" borderId="30" xfId="0" applyFill="1" applyBorder="1"/>
    <xf numFmtId="0" fontId="1" fillId="0" borderId="0" xfId="0" applyFont="1" applyProtection="1"/>
    <xf numFmtId="41" fontId="0" fillId="3" borderId="18" xfId="0" quotePrefix="1" applyNumberFormat="1" applyFill="1" applyBorder="1" applyProtection="1">
      <protection locked="0"/>
    </xf>
    <xf numFmtId="0" fontId="0" fillId="0" borderId="20" xfId="0" applyFill="1" applyBorder="1"/>
    <xf numFmtId="0" fontId="0" fillId="0" borderId="22" xfId="0" applyBorder="1" applyAlignment="1">
      <alignment horizontal="center"/>
    </xf>
    <xf numFmtId="0" fontId="0" fillId="0" borderId="17" xfId="0" applyBorder="1" applyAlignment="1"/>
    <xf numFmtId="0" fontId="0" fillId="0" borderId="26" xfId="0" applyBorder="1" applyAlignment="1">
      <alignment horizontal="center"/>
    </xf>
    <xf numFmtId="0" fontId="0" fillId="0" borderId="29" xfId="0" applyBorder="1" applyAlignment="1">
      <alignment horizontal="center"/>
    </xf>
    <xf numFmtId="0" fontId="0" fillId="0" borderId="27" xfId="0" applyBorder="1" applyAlignment="1">
      <alignment horizontal="center"/>
    </xf>
    <xf numFmtId="0" fontId="6" fillId="5" borderId="44" xfId="1" applyFont="1" applyFill="1" applyBorder="1"/>
    <xf numFmtId="40" fontId="0" fillId="0" borderId="18" xfId="0" applyNumberFormat="1" applyBorder="1" applyAlignment="1" applyProtection="1">
      <alignment horizontal="right"/>
    </xf>
    <xf numFmtId="0" fontId="0" fillId="0" borderId="13" xfId="0" applyBorder="1" applyAlignment="1"/>
    <xf numFmtId="0" fontId="0" fillId="0" borderId="15" xfId="0" applyBorder="1" applyAlignment="1"/>
    <xf numFmtId="0" fontId="0" fillId="0" borderId="56" xfId="0" applyBorder="1"/>
    <xf numFmtId="0" fontId="0" fillId="0" borderId="21" xfId="0" applyBorder="1"/>
    <xf numFmtId="0" fontId="0" fillId="0" borderId="17" xfId="0" applyFill="1" applyBorder="1" applyAlignment="1">
      <alignment horizontal="center"/>
    </xf>
    <xf numFmtId="43" fontId="0" fillId="0" borderId="31" xfId="0" applyNumberFormat="1" applyBorder="1" applyProtection="1"/>
    <xf numFmtId="166" fontId="0" fillId="0" borderId="31" xfId="0" applyNumberFormat="1" applyBorder="1" applyProtection="1"/>
    <xf numFmtId="166" fontId="0" fillId="0" borderId="35" xfId="0" applyNumberFormat="1" applyBorder="1" applyProtection="1"/>
    <xf numFmtId="0" fontId="0" fillId="0" borderId="56" xfId="0" applyFill="1" applyBorder="1" applyAlignment="1">
      <alignment horizontal="center"/>
    </xf>
    <xf numFmtId="41" fontId="0" fillId="0" borderId="12" xfId="0" quotePrefix="1" applyNumberFormat="1" applyBorder="1" applyAlignment="1" applyProtection="1">
      <alignment horizontal="center"/>
    </xf>
    <xf numFmtId="41" fontId="0" fillId="0" borderId="39" xfId="0" quotePrefix="1" applyNumberFormat="1" applyBorder="1" applyAlignment="1" applyProtection="1">
      <alignment horizontal="center"/>
    </xf>
    <xf numFmtId="41" fontId="0" fillId="3" borderId="41" xfId="0" applyNumberFormat="1" applyFill="1" applyBorder="1" applyProtection="1">
      <protection locked="0"/>
    </xf>
    <xf numFmtId="41" fontId="0" fillId="3" borderId="41" xfId="0" quotePrefix="1" applyNumberFormat="1" applyFill="1" applyBorder="1" applyProtection="1">
      <protection locked="0"/>
    </xf>
    <xf numFmtId="0" fontId="0" fillId="2" borderId="29" xfId="0" applyFill="1" applyBorder="1" applyProtection="1"/>
    <xf numFmtId="0" fontId="0" fillId="2" borderId="27" xfId="0" applyFill="1" applyBorder="1" applyProtection="1"/>
    <xf numFmtId="0" fontId="0" fillId="2" borderId="27" xfId="0" applyFill="1" applyBorder="1" applyAlignment="1"/>
    <xf numFmtId="0" fontId="0" fillId="2" borderId="27" xfId="0" applyFill="1" applyBorder="1" applyAlignment="1">
      <alignment horizontal="center"/>
    </xf>
    <xf numFmtId="0" fontId="0" fillId="2" borderId="20" xfId="0" applyFill="1" applyBorder="1" applyAlignment="1">
      <alignment horizontal="center"/>
    </xf>
    <xf numFmtId="0" fontId="0" fillId="2" borderId="25" xfId="0" applyFill="1" applyBorder="1" applyAlignment="1">
      <alignment horizontal="center"/>
    </xf>
    <xf numFmtId="43" fontId="0" fillId="0" borderId="59" xfId="0" applyNumberFormat="1" applyFill="1" applyBorder="1" applyProtection="1"/>
    <xf numFmtId="40" fontId="0" fillId="0" borderId="41" xfId="0" applyNumberFormat="1" applyBorder="1" applyAlignment="1" applyProtection="1">
      <alignment horizontal="right"/>
    </xf>
    <xf numFmtId="0" fontId="0" fillId="0" borderId="3" xfId="0" applyBorder="1" applyProtection="1"/>
    <xf numFmtId="0" fontId="0" fillId="0" borderId="0" xfId="0" applyFont="1" applyBorder="1" applyProtection="1"/>
    <xf numFmtId="0" fontId="0" fillId="0" borderId="0" xfId="0" applyBorder="1" applyProtection="1"/>
    <xf numFmtId="0" fontId="19" fillId="0" borderId="0" xfId="0" quotePrefix="1" applyFont="1" applyBorder="1" applyAlignment="1"/>
    <xf numFmtId="2" fontId="0" fillId="3" borderId="39" xfId="0" applyNumberFormat="1" applyFill="1" applyBorder="1" applyAlignment="1" applyProtection="1">
      <protection locked="0"/>
    </xf>
    <xf numFmtId="165" fontId="0" fillId="3" borderId="39" xfId="0" applyNumberFormat="1" applyFill="1" applyBorder="1" applyAlignment="1" applyProtection="1">
      <protection locked="0"/>
    </xf>
    <xf numFmtId="165" fontId="0" fillId="3" borderId="24" xfId="0" applyNumberFormat="1" applyFill="1" applyBorder="1" applyAlignment="1" applyProtection="1">
      <protection locked="0"/>
    </xf>
    <xf numFmtId="0" fontId="0" fillId="2" borderId="27" xfId="0" applyFill="1" applyBorder="1"/>
    <xf numFmtId="0" fontId="0" fillId="0" borderId="19" xfId="0" applyBorder="1"/>
    <xf numFmtId="43" fontId="0" fillId="0" borderId="17" xfId="0" quotePrefix="1" applyNumberFormat="1" applyFill="1" applyBorder="1"/>
    <xf numFmtId="43" fontId="0" fillId="0" borderId="26" xfId="0" quotePrefix="1" applyNumberFormat="1" applyFill="1" applyBorder="1"/>
    <xf numFmtId="43" fontId="0" fillId="0" borderId="25" xfId="0" quotePrefix="1" applyNumberFormat="1" applyFill="1" applyBorder="1"/>
    <xf numFmtId="0" fontId="0" fillId="0" borderId="29" xfId="0" applyFill="1" applyBorder="1" applyAlignment="1">
      <alignment horizontal="center"/>
    </xf>
    <xf numFmtId="0" fontId="0" fillId="0" borderId="22" xfId="0" quotePrefix="1" applyBorder="1"/>
    <xf numFmtId="0" fontId="0" fillId="0" borderId="29" xfId="0" applyFill="1" applyBorder="1" applyAlignment="1">
      <alignment horizontal="left"/>
    </xf>
    <xf numFmtId="0" fontId="0" fillId="0" borderId="22" xfId="0" applyBorder="1" applyAlignment="1">
      <alignment horizontal="left"/>
    </xf>
    <xf numFmtId="0" fontId="0" fillId="0" borderId="27" xfId="0" applyFill="1" applyBorder="1" applyAlignment="1">
      <alignment horizontal="left"/>
    </xf>
    <xf numFmtId="0" fontId="28" fillId="0" borderId="0" xfId="0" quotePrefix="1" applyFont="1" applyAlignment="1" applyProtection="1">
      <alignment horizontal="left"/>
    </xf>
    <xf numFmtId="1" fontId="0" fillId="0" borderId="0" xfId="0" applyNumberFormat="1" applyFont="1" applyAlignment="1">
      <alignment horizontal="left"/>
    </xf>
    <xf numFmtId="0" fontId="0" fillId="0" borderId="2" xfId="0" applyBorder="1"/>
    <xf numFmtId="0" fontId="0" fillId="0" borderId="2" xfId="0" applyBorder="1" applyProtection="1"/>
    <xf numFmtId="0" fontId="0" fillId="0" borderId="2" xfId="0" applyNumberFormat="1" applyFill="1" applyBorder="1" applyProtection="1"/>
    <xf numFmtId="0" fontId="0" fillId="0" borderId="3" xfId="0" applyNumberFormat="1" applyFill="1" applyBorder="1" applyProtection="1"/>
    <xf numFmtId="0" fontId="0" fillId="0" borderId="4" xfId="0" applyNumberFormat="1" applyFill="1" applyBorder="1" applyProtection="1"/>
    <xf numFmtId="0" fontId="0" fillId="0" borderId="2" xfId="0" applyFill="1" applyBorder="1" applyProtection="1"/>
    <xf numFmtId="0" fontId="0" fillId="0" borderId="3" xfId="0" applyFill="1" applyBorder="1" applyProtection="1"/>
    <xf numFmtId="0" fontId="0" fillId="0" borderId="4" xfId="0" applyFill="1" applyBorder="1" applyProtection="1"/>
    <xf numFmtId="0" fontId="0" fillId="0" borderId="2" xfId="0" applyNumberFormat="1" applyBorder="1"/>
    <xf numFmtId="0" fontId="0" fillId="0" borderId="3" xfId="0" applyNumberFormat="1" applyBorder="1"/>
    <xf numFmtId="0" fontId="0" fillId="0" borderId="46" xfId="0" quotePrefix="1" applyNumberFormat="1" applyBorder="1" applyProtection="1"/>
    <xf numFmtId="4" fontId="0" fillId="0" borderId="46" xfId="0" applyNumberFormat="1" applyFont="1" applyFill="1" applyBorder="1" applyProtection="1"/>
    <xf numFmtId="4" fontId="0" fillId="0" borderId="1" xfId="0" applyNumberFormat="1" applyFont="1" applyFill="1" applyBorder="1" applyProtection="1"/>
    <xf numFmtId="4" fontId="0" fillId="0" borderId="47" xfId="0" applyNumberFormat="1" applyFont="1" applyFill="1" applyBorder="1" applyProtection="1"/>
    <xf numFmtId="4" fontId="0" fillId="0" borderId="5" xfId="0" applyNumberFormat="1" applyFont="1" applyFill="1" applyBorder="1" applyProtection="1"/>
    <xf numFmtId="4" fontId="0" fillId="0" borderId="0" xfId="0" applyNumberFormat="1" applyFont="1" applyFill="1" applyBorder="1" applyProtection="1"/>
    <xf numFmtId="4" fontId="0" fillId="0" borderId="6" xfId="0" applyNumberFormat="1" applyFont="1" applyFill="1" applyBorder="1" applyProtection="1"/>
    <xf numFmtId="4" fontId="0" fillId="0" borderId="7" xfId="0" applyNumberFormat="1" applyFont="1" applyFill="1" applyBorder="1" applyProtection="1"/>
    <xf numFmtId="4" fontId="0" fillId="0" borderId="8" xfId="0" applyNumberFormat="1" applyFont="1" applyFill="1" applyBorder="1" applyProtection="1"/>
    <xf numFmtId="4" fontId="0" fillId="0" borderId="9" xfId="0" applyNumberFormat="1" applyFont="1" applyFill="1" applyBorder="1" applyProtection="1"/>
    <xf numFmtId="4" fontId="0" fillId="0" borderId="5" xfId="0" applyNumberFormat="1" applyFont="1" applyFill="1" applyBorder="1" applyAlignment="1" applyProtection="1">
      <alignment horizontal="right"/>
    </xf>
    <xf numFmtId="4" fontId="0" fillId="0" borderId="0" xfId="0" applyNumberFormat="1" applyFont="1" applyFill="1" applyBorder="1" applyAlignment="1" applyProtection="1">
      <alignment horizontal="right"/>
    </xf>
    <xf numFmtId="4" fontId="6" fillId="0" borderId="0" xfId="0" applyNumberFormat="1" applyFont="1" applyFill="1" applyBorder="1" applyProtection="1"/>
    <xf numFmtId="0" fontId="0" fillId="0" borderId="4" xfId="0" applyNumberFormat="1" applyBorder="1"/>
    <xf numFmtId="4" fontId="0" fillId="0" borderId="6" xfId="0" applyNumberFormat="1" applyFont="1" applyFill="1" applyBorder="1" applyAlignment="1" applyProtection="1">
      <alignment horizontal="right"/>
    </xf>
    <xf numFmtId="0" fontId="6" fillId="0" borderId="3" xfId="0" applyFont="1" applyFill="1" applyBorder="1" applyProtection="1"/>
    <xf numFmtId="0" fontId="0" fillId="0" borderId="0" xfId="0" applyFont="1" applyBorder="1"/>
    <xf numFmtId="4" fontId="0" fillId="0" borderId="0" xfId="0" applyNumberFormat="1" applyFont="1" applyBorder="1" applyAlignment="1">
      <alignment horizontal="right"/>
    </xf>
    <xf numFmtId="0" fontId="0" fillId="0" borderId="46" xfId="0" applyFont="1" applyBorder="1"/>
    <xf numFmtId="4" fontId="0" fillId="0" borderId="1" xfId="0" applyNumberFormat="1" applyFont="1" applyBorder="1" applyAlignment="1">
      <alignment horizontal="right"/>
    </xf>
    <xf numFmtId="0" fontId="0" fillId="0" borderId="5" xfId="0" applyFont="1" applyBorder="1"/>
    <xf numFmtId="4" fontId="0" fillId="0" borderId="6" xfId="0" applyNumberFormat="1" applyFont="1" applyBorder="1" applyAlignment="1">
      <alignment horizontal="right"/>
    </xf>
    <xf numFmtId="0" fontId="0" fillId="0" borderId="7" xfId="0" applyFont="1" applyBorder="1"/>
    <xf numFmtId="4" fontId="0" fillId="0" borderId="8" xfId="0" applyNumberFormat="1" applyFont="1" applyBorder="1" applyAlignment="1">
      <alignment horizontal="right"/>
    </xf>
    <xf numFmtId="4" fontId="0" fillId="0" borderId="46" xfId="0" applyNumberFormat="1" applyFont="1" applyBorder="1" applyAlignment="1">
      <alignment horizontal="right"/>
    </xf>
    <xf numFmtId="4" fontId="0" fillId="0" borderId="47" xfId="0" applyNumberFormat="1" applyFont="1" applyBorder="1" applyAlignment="1">
      <alignment horizontal="right"/>
    </xf>
    <xf numFmtId="4" fontId="0" fillId="0" borderId="5" xfId="0" applyNumberFormat="1" applyFont="1" applyBorder="1" applyAlignment="1">
      <alignment horizontal="right"/>
    </xf>
    <xf numFmtId="4" fontId="0" fillId="0" borderId="7" xfId="0" applyNumberFormat="1" applyFont="1" applyBorder="1" applyAlignment="1">
      <alignment horizontal="right"/>
    </xf>
    <xf numFmtId="4" fontId="0" fillId="0" borderId="9" xfId="0" applyNumberFormat="1" applyFont="1" applyBorder="1" applyAlignment="1">
      <alignment horizontal="right"/>
    </xf>
    <xf numFmtId="4" fontId="0" fillId="0" borderId="46" xfId="0" applyNumberFormat="1" applyBorder="1"/>
    <xf numFmtId="4" fontId="0" fillId="0" borderId="1" xfId="0" applyNumberFormat="1" applyBorder="1"/>
    <xf numFmtId="4" fontId="0" fillId="0" borderId="47" xfId="0" applyNumberFormat="1" applyBorder="1"/>
    <xf numFmtId="0" fontId="0" fillId="5" borderId="60" xfId="0" applyFill="1" applyBorder="1"/>
    <xf numFmtId="0" fontId="0" fillId="5" borderId="61" xfId="0" applyFill="1" applyBorder="1"/>
    <xf numFmtId="0" fontId="0" fillId="5" borderId="62" xfId="0" applyFill="1" applyBorder="1"/>
    <xf numFmtId="0" fontId="29" fillId="4" borderId="0" xfId="0" applyFont="1" applyFill="1" applyBorder="1" applyAlignment="1"/>
    <xf numFmtId="0" fontId="29" fillId="0" borderId="0" xfId="0" applyFont="1"/>
    <xf numFmtId="0" fontId="28" fillId="0" borderId="0" xfId="0" applyFont="1" applyProtection="1"/>
    <xf numFmtId="43" fontId="0" fillId="0" borderId="31" xfId="0" applyNumberFormat="1" applyFill="1" applyBorder="1" applyProtection="1"/>
    <xf numFmtId="43" fontId="0" fillId="0" borderId="35" xfId="0" applyNumberFormat="1" applyFill="1" applyBorder="1" applyProtection="1"/>
    <xf numFmtId="43" fontId="0" fillId="0" borderId="38" xfId="0" quotePrefix="1" applyNumberFormat="1" applyBorder="1" applyProtection="1"/>
    <xf numFmtId="40" fontId="0" fillId="0" borderId="13" xfId="0" applyNumberFormat="1" applyBorder="1" applyProtection="1"/>
    <xf numFmtId="0" fontId="0" fillId="5" borderId="0" xfId="0" applyFill="1" applyBorder="1"/>
    <xf numFmtId="0" fontId="0" fillId="5" borderId="32" xfId="0" applyFill="1" applyBorder="1" applyAlignment="1" applyProtection="1">
      <alignment horizontal="center"/>
    </xf>
    <xf numFmtId="0" fontId="0" fillId="5" borderId="26" xfId="0" applyFill="1" applyBorder="1" applyAlignment="1" applyProtection="1">
      <alignment horizontal="center"/>
    </xf>
    <xf numFmtId="0" fontId="0" fillId="5" borderId="29" xfId="0" applyFill="1" applyBorder="1" applyAlignment="1" applyProtection="1">
      <alignment horizontal="center"/>
    </xf>
    <xf numFmtId="0" fontId="27" fillId="5" borderId="32" xfId="0" applyFont="1" applyFill="1" applyBorder="1" applyAlignment="1" applyProtection="1">
      <alignment horizontal="center"/>
    </xf>
    <xf numFmtId="0" fontId="6" fillId="5" borderId="26" xfId="0" applyFont="1" applyFill="1" applyBorder="1" applyAlignment="1" applyProtection="1">
      <alignment horizontal="center"/>
    </xf>
    <xf numFmtId="0" fontId="6" fillId="5" borderId="31" xfId="0" applyFont="1" applyFill="1" applyBorder="1" applyAlignment="1" applyProtection="1">
      <alignment horizontal="center"/>
    </xf>
    <xf numFmtId="0" fontId="6" fillId="5" borderId="25" xfId="0" applyFont="1" applyFill="1" applyBorder="1" applyAlignment="1" applyProtection="1">
      <alignment horizontal="center"/>
    </xf>
    <xf numFmtId="0" fontId="0" fillId="5" borderId="27" xfId="0" applyFill="1" applyBorder="1" applyAlignment="1" applyProtection="1">
      <alignment horizontal="center"/>
    </xf>
    <xf numFmtId="43" fontId="0" fillId="0" borderId="13" xfId="0" quotePrefix="1" applyNumberFormat="1" applyBorder="1" applyAlignment="1" applyProtection="1">
      <alignment horizontal="right"/>
    </xf>
    <xf numFmtId="43" fontId="0" fillId="0" borderId="67" xfId="0" quotePrefix="1" applyNumberFormat="1" applyBorder="1" applyAlignment="1" applyProtection="1">
      <alignment horizontal="right"/>
    </xf>
    <xf numFmtId="0" fontId="0" fillId="5" borderId="33" xfId="0" applyFill="1" applyBorder="1" applyAlignment="1">
      <alignment horizontal="center"/>
    </xf>
    <xf numFmtId="0" fontId="0" fillId="5" borderId="37" xfId="0" applyFill="1" applyBorder="1" applyAlignment="1">
      <alignment horizontal="center"/>
    </xf>
    <xf numFmtId="0" fontId="0" fillId="5" borderId="38" xfId="0" applyFill="1" applyBorder="1" applyAlignment="1">
      <alignment horizontal="center"/>
    </xf>
    <xf numFmtId="43" fontId="0" fillId="0" borderId="39" xfId="0" quotePrefix="1" applyNumberFormat="1" applyBorder="1" applyProtection="1"/>
    <xf numFmtId="43" fontId="0" fillId="0" borderId="24" xfId="0" quotePrefix="1" applyNumberFormat="1" applyBorder="1" applyProtection="1"/>
    <xf numFmtId="0" fontId="6" fillId="5" borderId="18" xfId="0" applyFont="1" applyFill="1" applyBorder="1" applyProtection="1"/>
    <xf numFmtId="0" fontId="0" fillId="5" borderId="18" xfId="0" quotePrefix="1" applyFill="1" applyBorder="1" applyAlignment="1" applyProtection="1">
      <alignment horizontal="left"/>
    </xf>
    <xf numFmtId="0" fontId="6" fillId="5" borderId="26" xfId="0" applyFont="1" applyFill="1" applyBorder="1"/>
    <xf numFmtId="0" fontId="0" fillId="5" borderId="18" xfId="0" applyFill="1" applyBorder="1" applyProtection="1"/>
    <xf numFmtId="0" fontId="0" fillId="5" borderId="30" xfId="0" applyFill="1" applyBorder="1" applyProtection="1"/>
    <xf numFmtId="0" fontId="0" fillId="5" borderId="42" xfId="0" applyFill="1" applyBorder="1" applyProtection="1"/>
    <xf numFmtId="0" fontId="0" fillId="5" borderId="32" xfId="0" applyFill="1" applyBorder="1" applyProtection="1"/>
    <xf numFmtId="0" fontId="0" fillId="5" borderId="37" xfId="0" applyFill="1" applyBorder="1" applyProtection="1"/>
    <xf numFmtId="0" fontId="0" fillId="5" borderId="31" xfId="0" applyFill="1" applyBorder="1" applyProtection="1"/>
    <xf numFmtId="0" fontId="0" fillId="5" borderId="38" xfId="0" applyFill="1" applyBorder="1" applyProtection="1"/>
    <xf numFmtId="0" fontId="0" fillId="5" borderId="54" xfId="0" applyFill="1" applyBorder="1" applyProtection="1"/>
    <xf numFmtId="0" fontId="0" fillId="5" borderId="39" xfId="0" applyFill="1" applyBorder="1" applyAlignment="1" applyProtection="1">
      <alignment horizontal="center"/>
    </xf>
    <xf numFmtId="0" fontId="0" fillId="5" borderId="45" xfId="0" applyFill="1" applyBorder="1" applyProtection="1"/>
    <xf numFmtId="0" fontId="0" fillId="5" borderId="24" xfId="0" applyFill="1" applyBorder="1" applyAlignment="1" applyProtection="1">
      <alignment horizontal="center"/>
    </xf>
    <xf numFmtId="0" fontId="0" fillId="5" borderId="27" xfId="0" quotePrefix="1" applyFill="1" applyBorder="1" applyAlignment="1" applyProtection="1"/>
    <xf numFmtId="0" fontId="0" fillId="5" borderId="21" xfId="0" applyFill="1" applyBorder="1" applyProtection="1"/>
    <xf numFmtId="0" fontId="0" fillId="5" borderId="57" xfId="0" applyFill="1" applyBorder="1" applyAlignment="1" applyProtection="1"/>
    <xf numFmtId="0" fontId="0" fillId="5" borderId="55" xfId="0" quotePrefix="1" applyFill="1" applyBorder="1" applyAlignment="1" applyProtection="1">
      <alignment horizontal="center"/>
    </xf>
    <xf numFmtId="0" fontId="0" fillId="5" borderId="56" xfId="0" applyFill="1" applyBorder="1" applyAlignment="1" applyProtection="1">
      <alignment horizontal="center"/>
    </xf>
    <xf numFmtId="0" fontId="0" fillId="5" borderId="26" xfId="0" quotePrefix="1" applyFill="1" applyBorder="1" applyAlignment="1" applyProtection="1">
      <alignment horizontal="center"/>
    </xf>
    <xf numFmtId="0" fontId="0" fillId="5" borderId="17" xfId="0" applyFill="1" applyBorder="1" applyAlignment="1" applyProtection="1">
      <alignment horizontal="center"/>
    </xf>
    <xf numFmtId="0" fontId="0" fillId="5" borderId="33" xfId="0" applyFill="1" applyBorder="1" applyAlignment="1" applyProtection="1">
      <alignment horizontal="center"/>
    </xf>
    <xf numFmtId="0" fontId="0" fillId="5" borderId="21" xfId="0" applyFill="1" applyBorder="1" applyAlignment="1" applyProtection="1">
      <alignment horizontal="center"/>
    </xf>
    <xf numFmtId="0" fontId="0" fillId="5" borderId="25" xfId="0" applyFill="1" applyBorder="1" applyAlignment="1" applyProtection="1">
      <alignment horizontal="center"/>
    </xf>
    <xf numFmtId="0" fontId="0" fillId="5" borderId="38" xfId="0" applyFill="1" applyBorder="1" applyAlignment="1" applyProtection="1">
      <alignment horizontal="center"/>
    </xf>
    <xf numFmtId="0" fontId="0" fillId="5" borderId="12" xfId="0" applyFill="1" applyBorder="1" applyAlignment="1" applyProtection="1">
      <alignment horizontal="center"/>
    </xf>
    <xf numFmtId="0" fontId="0" fillId="5" borderId="30" xfId="0" applyFill="1" applyBorder="1" applyAlignment="1" applyProtection="1">
      <alignment horizontal="left"/>
    </xf>
    <xf numFmtId="0" fontId="0" fillId="5" borderId="58" xfId="0" applyFill="1" applyBorder="1" applyAlignment="1" applyProtection="1">
      <alignment horizontal="left"/>
    </xf>
    <xf numFmtId="0" fontId="0" fillId="5" borderId="29" xfId="0" applyFill="1" applyBorder="1" applyProtection="1"/>
    <xf numFmtId="0" fontId="0" fillId="5" borderId="27" xfId="0" applyFill="1" applyBorder="1" applyProtection="1"/>
    <xf numFmtId="0" fontId="0" fillId="5" borderId="20" xfId="0" applyFill="1" applyBorder="1" applyAlignment="1" applyProtection="1">
      <alignment horizontal="center"/>
    </xf>
    <xf numFmtId="0" fontId="0" fillId="5" borderId="12" xfId="0" applyFill="1" applyBorder="1" applyProtection="1"/>
    <xf numFmtId="0" fontId="0" fillId="5" borderId="14" xfId="0" applyFill="1" applyBorder="1" applyAlignment="1" applyProtection="1">
      <alignment horizontal="center"/>
    </xf>
    <xf numFmtId="0" fontId="0" fillId="5" borderId="23" xfId="0" applyFill="1" applyBorder="1" applyProtection="1"/>
    <xf numFmtId="0" fontId="0" fillId="5" borderId="48" xfId="0" applyFill="1" applyBorder="1" applyAlignment="1" applyProtection="1">
      <alignment horizontal="center"/>
    </xf>
    <xf numFmtId="0" fontId="0" fillId="5" borderId="56" xfId="0" applyFont="1" applyFill="1" applyBorder="1" applyAlignment="1" applyProtection="1">
      <alignment horizontal="center"/>
    </xf>
    <xf numFmtId="0" fontId="0" fillId="5" borderId="0" xfId="0" applyFont="1" applyFill="1" applyBorder="1" applyAlignment="1" applyProtection="1">
      <alignment horizontal="center"/>
    </xf>
    <xf numFmtId="0" fontId="0" fillId="5" borderId="32" xfId="0" applyFill="1" applyBorder="1" applyAlignment="1">
      <alignment horizontal="center"/>
    </xf>
    <xf numFmtId="0" fontId="1" fillId="5" borderId="29" xfId="0" applyFont="1" applyFill="1" applyBorder="1" applyAlignment="1" applyProtection="1">
      <alignment horizontal="center"/>
    </xf>
    <xf numFmtId="0" fontId="0" fillId="5" borderId="26" xfId="0" applyFont="1" applyFill="1" applyBorder="1" applyAlignment="1" applyProtection="1">
      <alignment horizontal="center"/>
    </xf>
    <xf numFmtId="0" fontId="27" fillId="5" borderId="31" xfId="0" applyFont="1" applyFill="1" applyBorder="1" applyAlignment="1" applyProtection="1">
      <alignment horizontal="center"/>
    </xf>
    <xf numFmtId="0" fontId="27" fillId="5" borderId="27" xfId="0" applyFont="1" applyFill="1" applyBorder="1" applyAlignment="1" applyProtection="1">
      <alignment horizontal="center"/>
    </xf>
    <xf numFmtId="0" fontId="6" fillId="5" borderId="21" xfId="0" applyFont="1" applyFill="1" applyBorder="1" applyAlignment="1" applyProtection="1">
      <alignment horizontal="center"/>
    </xf>
    <xf numFmtId="0" fontId="0" fillId="5" borderId="25" xfId="0" applyFont="1" applyFill="1" applyBorder="1" applyAlignment="1" applyProtection="1">
      <alignment horizontal="center"/>
    </xf>
    <xf numFmtId="0" fontId="0" fillId="5" borderId="20" xfId="0" applyFont="1" applyFill="1" applyBorder="1" applyAlignment="1" applyProtection="1">
      <alignment horizontal="center"/>
    </xf>
    <xf numFmtId="0" fontId="0" fillId="5" borderId="32" xfId="0" applyFill="1" applyBorder="1"/>
    <xf numFmtId="0" fontId="0" fillId="5" borderId="66" xfId="0" applyFill="1" applyBorder="1" applyAlignment="1" applyProtection="1">
      <alignment horizontal="center"/>
    </xf>
    <xf numFmtId="0" fontId="0" fillId="5" borderId="43" xfId="0" applyFill="1" applyBorder="1" applyAlignment="1" applyProtection="1">
      <alignment horizontal="center"/>
    </xf>
    <xf numFmtId="0" fontId="0" fillId="5" borderId="16" xfId="0" applyFill="1" applyBorder="1" applyAlignment="1">
      <alignment horizontal="center"/>
    </xf>
    <xf numFmtId="0" fontId="0" fillId="5" borderId="5" xfId="0" applyFill="1" applyBorder="1"/>
    <xf numFmtId="0" fontId="0" fillId="5" borderId="64" xfId="0" applyFill="1" applyBorder="1" applyAlignment="1">
      <alignment horizontal="center"/>
    </xf>
    <xf numFmtId="43" fontId="0" fillId="4" borderId="61" xfId="0" quotePrefix="1" applyNumberFormat="1" applyFill="1" applyBorder="1"/>
    <xf numFmtId="2" fontId="0" fillId="4" borderId="66" xfId="0" applyNumberFormat="1" applyFill="1" applyBorder="1"/>
    <xf numFmtId="165" fontId="0" fillId="4" borderId="66" xfId="0" applyNumberFormat="1" applyFill="1" applyBorder="1"/>
    <xf numFmtId="43" fontId="0" fillId="4" borderId="62" xfId="0" quotePrefix="1" applyNumberFormat="1" applyFill="1" applyBorder="1"/>
    <xf numFmtId="165" fontId="0" fillId="4" borderId="43" xfId="0" applyNumberFormat="1" applyFill="1" applyBorder="1"/>
    <xf numFmtId="166" fontId="0" fillId="0" borderId="20" xfId="0" applyNumberFormat="1" applyBorder="1" applyAlignment="1" applyProtection="1"/>
    <xf numFmtId="166" fontId="0" fillId="0" borderId="8" xfId="0" applyNumberFormat="1" applyBorder="1" applyAlignment="1" applyProtection="1"/>
    <xf numFmtId="167" fontId="0" fillId="0" borderId="13" xfId="0" applyNumberFormat="1" applyBorder="1" applyProtection="1"/>
    <xf numFmtId="167" fontId="0" fillId="0" borderId="67" xfId="0" applyNumberFormat="1" applyBorder="1" applyProtection="1"/>
    <xf numFmtId="0" fontId="0" fillId="5" borderId="12" xfId="0" applyFill="1" applyBorder="1"/>
    <xf numFmtId="0" fontId="0" fillId="5" borderId="23" xfId="0" applyFill="1" applyBorder="1"/>
    <xf numFmtId="0" fontId="30" fillId="0" borderId="0" xfId="0" applyFont="1"/>
    <xf numFmtId="0" fontId="6" fillId="0" borderId="0" xfId="0" applyFont="1"/>
    <xf numFmtId="43" fontId="0" fillId="4" borderId="54" xfId="0" quotePrefix="1" applyNumberFormat="1" applyFont="1" applyFill="1" applyBorder="1"/>
    <xf numFmtId="43" fontId="0" fillId="4" borderId="13" xfId="0" quotePrefix="1" applyNumberFormat="1" applyFont="1" applyFill="1" applyBorder="1"/>
    <xf numFmtId="43" fontId="0" fillId="4" borderId="39" xfId="0" quotePrefix="1" applyNumberFormat="1" applyFont="1" applyFill="1" applyBorder="1"/>
    <xf numFmtId="43" fontId="0" fillId="4" borderId="65" xfId="0" quotePrefix="1" applyNumberFormat="1" applyFont="1" applyFill="1" applyBorder="1"/>
    <xf numFmtId="43" fontId="0" fillId="4" borderId="22" xfId="0" quotePrefix="1" applyNumberFormat="1" applyFont="1" applyFill="1" applyBorder="1"/>
    <xf numFmtId="43" fontId="0" fillId="4" borderId="33" xfId="0" quotePrefix="1" applyNumberFormat="1" applyFont="1" applyFill="1" applyBorder="1"/>
    <xf numFmtId="43" fontId="0" fillId="4" borderId="45" xfId="0" quotePrefix="1" applyNumberFormat="1" applyFont="1" applyFill="1" applyBorder="1"/>
    <xf numFmtId="43" fontId="0" fillId="4" borderId="67" xfId="0" quotePrefix="1" applyNumberFormat="1" applyFont="1" applyFill="1" applyBorder="1"/>
    <xf numFmtId="43" fontId="0" fillId="4" borderId="24" xfId="0" quotePrefix="1" applyNumberFormat="1" applyFont="1" applyFill="1" applyBorder="1"/>
    <xf numFmtId="43" fontId="0" fillId="0" borderId="18" xfId="0" applyNumberFormat="1" applyFont="1" applyBorder="1"/>
    <xf numFmtId="43" fontId="0" fillId="0" borderId="50" xfId="0" applyNumberFormat="1" applyFont="1" applyBorder="1"/>
    <xf numFmtId="43" fontId="0" fillId="0" borderId="41" xfId="0" applyNumberFormat="1" applyFont="1" applyBorder="1"/>
    <xf numFmtId="43" fontId="0" fillId="0" borderId="25" xfId="0" applyNumberFormat="1" applyFont="1" applyBorder="1"/>
    <xf numFmtId="43" fontId="0" fillId="0" borderId="38" xfId="0" applyNumberFormat="1" applyFont="1" applyBorder="1"/>
    <xf numFmtId="43" fontId="0" fillId="0" borderId="39" xfId="0" applyNumberFormat="1" applyFont="1" applyBorder="1"/>
    <xf numFmtId="43" fontId="0" fillId="0" borderId="24" xfId="0" applyNumberFormat="1" applyFont="1" applyBorder="1"/>
    <xf numFmtId="43" fontId="0" fillId="0" borderId="51" xfId="0" applyNumberFormat="1" applyFont="1" applyBorder="1"/>
    <xf numFmtId="43" fontId="0" fillId="0" borderId="39" xfId="0" applyNumberFormat="1" applyFont="1" applyBorder="1" applyAlignment="1"/>
    <xf numFmtId="43" fontId="31" fillId="0" borderId="39" xfId="1" applyNumberFormat="1" applyFont="1" applyFill="1" applyBorder="1" applyAlignment="1">
      <alignment horizontal="center"/>
    </xf>
    <xf numFmtId="43" fontId="31" fillId="0" borderId="39" xfId="1" applyNumberFormat="1" applyFont="1" applyFill="1" applyBorder="1" applyAlignment="1"/>
    <xf numFmtId="43" fontId="31" fillId="0" borderId="51" xfId="1" applyNumberFormat="1" applyFont="1" applyFill="1" applyBorder="1" applyAlignment="1">
      <alignment horizontal="center"/>
    </xf>
    <xf numFmtId="43" fontId="0" fillId="0" borderId="8" xfId="0" applyNumberFormat="1" applyFont="1" applyBorder="1"/>
    <xf numFmtId="43" fontId="31" fillId="0" borderId="50" xfId="1" applyNumberFormat="1" applyFont="1" applyFill="1" applyBorder="1" applyAlignment="1">
      <alignment horizontal="center" wrapText="1"/>
    </xf>
    <xf numFmtId="43" fontId="31" fillId="0" borderId="18" xfId="1" applyNumberFormat="1" applyFont="1" applyFill="1" applyBorder="1" applyAlignment="1">
      <alignment horizontal="center" wrapText="1"/>
    </xf>
    <xf numFmtId="43" fontId="31" fillId="0" borderId="41" xfId="1" applyNumberFormat="1" applyFont="1" applyFill="1" applyBorder="1" applyAlignment="1">
      <alignment horizontal="center" wrapText="1"/>
    </xf>
    <xf numFmtId="43" fontId="31" fillId="0" borderId="50" xfId="1" applyNumberFormat="1" applyFont="1" applyFill="1" applyBorder="1" applyAlignment="1">
      <alignment horizontal="center"/>
    </xf>
    <xf numFmtId="43" fontId="31" fillId="0" borderId="18" xfId="1" applyNumberFormat="1" applyFont="1" applyFill="1" applyBorder="1" applyAlignment="1">
      <alignment horizontal="center"/>
    </xf>
    <xf numFmtId="43" fontId="0" fillId="0" borderId="18" xfId="0" applyNumberFormat="1" applyFont="1" applyBorder="1" applyAlignment="1"/>
    <xf numFmtId="43" fontId="31" fillId="0" borderId="41" xfId="1" applyNumberFormat="1" applyFont="1" applyFill="1" applyBorder="1" applyAlignment="1">
      <alignment horizontal="center"/>
    </xf>
    <xf numFmtId="43" fontId="0" fillId="0" borderId="31" xfId="0" applyNumberFormat="1" applyFont="1" applyBorder="1"/>
    <xf numFmtId="43" fontId="0" fillId="0" borderId="12" xfId="0" applyNumberFormat="1" applyFont="1" applyBorder="1"/>
    <xf numFmtId="43" fontId="0" fillId="0" borderId="23" xfId="0" applyNumberFormat="1" applyFont="1" applyBorder="1"/>
    <xf numFmtId="43" fontId="0" fillId="0" borderId="63" xfId="0" applyNumberFormat="1" applyFont="1" applyBorder="1"/>
    <xf numFmtId="43" fontId="0" fillId="0" borderId="15" xfId="0" applyNumberFormat="1" applyFont="1" applyBorder="1"/>
    <xf numFmtId="43" fontId="0" fillId="0" borderId="52" xfId="0" applyNumberFormat="1" applyFont="1" applyBorder="1"/>
    <xf numFmtId="43" fontId="0" fillId="0" borderId="49" xfId="0" applyNumberFormat="1" applyFont="1" applyBorder="1"/>
    <xf numFmtId="43" fontId="17" fillId="0" borderId="18" xfId="1" applyNumberFormat="1" applyFont="1" applyFill="1" applyBorder="1" applyAlignment="1">
      <alignment horizontal="center"/>
    </xf>
    <xf numFmtId="4" fontId="0" fillId="0" borderId="5" xfId="0" applyNumberFormat="1" applyFont="1" applyBorder="1"/>
    <xf numFmtId="4" fontId="0" fillId="0" borderId="0" xfId="0" applyNumberFormat="1" applyFont="1" applyBorder="1"/>
    <xf numFmtId="4" fontId="0" fillId="0" borderId="6" xfId="0" applyNumberFormat="1" applyFont="1" applyBorder="1"/>
    <xf numFmtId="4" fontId="0" fillId="0" borderId="7" xfId="0" applyNumberFormat="1" applyFont="1" applyBorder="1"/>
    <xf numFmtId="4" fontId="0" fillId="0" borderId="8" xfId="0" applyNumberFormat="1" applyFont="1" applyBorder="1"/>
    <xf numFmtId="4" fontId="0" fillId="0" borderId="9" xfId="0" applyNumberFormat="1" applyFont="1" applyBorder="1"/>
    <xf numFmtId="4" fontId="0" fillId="0" borderId="1" xfId="0" applyNumberFormat="1" applyFont="1" applyBorder="1"/>
    <xf numFmtId="4" fontId="0" fillId="0" borderId="46" xfId="0" applyNumberFormat="1" applyFont="1" applyBorder="1"/>
    <xf numFmtId="4" fontId="0" fillId="0" borderId="47" xfId="0" applyNumberFormat="1" applyFont="1" applyBorder="1"/>
    <xf numFmtId="4" fontId="7" fillId="0" borderId="46" xfId="1" applyNumberFormat="1" applyFont="1" applyFill="1" applyBorder="1" applyAlignment="1" applyProtection="1">
      <alignment horizontal="right" wrapText="1"/>
      <protection locked="0"/>
    </xf>
    <xf numFmtId="4" fontId="7" fillId="0" borderId="1" xfId="1" applyNumberFormat="1" applyFont="1" applyFill="1" applyBorder="1" applyAlignment="1" applyProtection="1">
      <alignment horizontal="right" wrapText="1"/>
      <protection locked="0"/>
    </xf>
    <xf numFmtId="4" fontId="7" fillId="0" borderId="47" xfId="1" applyNumberFormat="1" applyFont="1" applyFill="1" applyBorder="1" applyAlignment="1" applyProtection="1">
      <alignment horizontal="right" wrapText="1"/>
      <protection locked="0"/>
    </xf>
    <xf numFmtId="4" fontId="7" fillId="0" borderId="5" xfId="1" applyNumberFormat="1" applyFont="1" applyFill="1" applyBorder="1" applyAlignment="1" applyProtection="1">
      <alignment horizontal="right" wrapText="1"/>
      <protection locked="0"/>
    </xf>
    <xf numFmtId="4" fontId="7" fillId="0" borderId="0" xfId="1" applyNumberFormat="1" applyFont="1" applyFill="1" applyBorder="1" applyAlignment="1" applyProtection="1">
      <alignment horizontal="right" wrapText="1"/>
      <protection locked="0"/>
    </xf>
    <xf numFmtId="4" fontId="7" fillId="0" borderId="6" xfId="1" applyNumberFormat="1" applyFont="1" applyFill="1" applyBorder="1" applyAlignment="1" applyProtection="1">
      <alignment horizontal="right" wrapText="1"/>
      <protection locked="0"/>
    </xf>
    <xf numFmtId="4" fontId="7" fillId="0" borderId="7" xfId="1" applyNumberFormat="1" applyFont="1" applyFill="1" applyBorder="1" applyAlignment="1" applyProtection="1">
      <alignment horizontal="right" wrapText="1"/>
      <protection locked="0"/>
    </xf>
    <xf numFmtId="4" fontId="7" fillId="0" borderId="8" xfId="1" applyNumberFormat="1" applyFont="1" applyFill="1" applyBorder="1" applyAlignment="1" applyProtection="1">
      <alignment horizontal="right" wrapText="1"/>
      <protection locked="0"/>
    </xf>
    <xf numFmtId="4" fontId="7" fillId="0" borderId="9" xfId="1" applyNumberFormat="1" applyFont="1" applyFill="1" applyBorder="1" applyAlignment="1" applyProtection="1">
      <alignment horizontal="right" wrapText="1"/>
      <protection locked="0"/>
    </xf>
    <xf numFmtId="2" fontId="0" fillId="4" borderId="61" xfId="0" applyNumberFormat="1" applyFill="1" applyBorder="1"/>
    <xf numFmtId="0" fontId="30" fillId="0" borderId="0" xfId="0" applyFont="1" applyBorder="1" applyAlignment="1" applyProtection="1"/>
    <xf numFmtId="43" fontId="17" fillId="0" borderId="18" xfId="1" applyNumberFormat="1" applyFont="1" applyFill="1" applyBorder="1" applyAlignment="1">
      <alignment horizontal="center" wrapText="1"/>
    </xf>
    <xf numFmtId="4" fontId="6" fillId="0" borderId="5" xfId="1" applyNumberFormat="1" applyFont="1" applyFill="1" applyBorder="1" applyAlignment="1" applyProtection="1">
      <alignment horizontal="right" wrapText="1"/>
      <protection locked="0"/>
    </xf>
    <xf numFmtId="4" fontId="6" fillId="0" borderId="0" xfId="1" applyNumberFormat="1" applyFont="1" applyFill="1" applyBorder="1" applyAlignment="1" applyProtection="1">
      <alignment horizontal="right" wrapText="1"/>
      <protection locked="0"/>
    </xf>
    <xf numFmtId="4" fontId="6" fillId="0" borderId="6" xfId="1" applyNumberFormat="1" applyFont="1" applyFill="1" applyBorder="1" applyAlignment="1" applyProtection="1">
      <alignment horizontal="right" wrapText="1"/>
      <protection locked="0"/>
    </xf>
    <xf numFmtId="43" fontId="0" fillId="0" borderId="31" xfId="0" applyNumberFormat="1" applyBorder="1" applyAlignment="1" applyProtection="1">
      <alignment horizontal="center"/>
    </xf>
    <xf numFmtId="43" fontId="17" fillId="0" borderId="24" xfId="1" applyNumberFormat="1" applyFont="1" applyFill="1" applyBorder="1" applyAlignment="1"/>
    <xf numFmtId="43" fontId="17" fillId="0" borderId="39" xfId="1" applyNumberFormat="1" applyFont="1" applyFill="1" applyBorder="1" applyAlignment="1"/>
    <xf numFmtId="4" fontId="6" fillId="0" borderId="7" xfId="1" applyNumberFormat="1" applyFont="1" applyFill="1" applyBorder="1" applyAlignment="1" applyProtection="1">
      <alignment horizontal="right" wrapText="1"/>
      <protection locked="0"/>
    </xf>
    <xf numFmtId="4" fontId="6" fillId="0" borderId="8" xfId="1" applyNumberFormat="1" applyFont="1" applyFill="1" applyBorder="1" applyAlignment="1" applyProtection="1">
      <alignment horizontal="right" wrapText="1"/>
      <protection locked="0"/>
    </xf>
    <xf numFmtId="4" fontId="6" fillId="0" borderId="9" xfId="1" applyNumberFormat="1" applyFont="1" applyFill="1" applyBorder="1" applyAlignment="1" applyProtection="1">
      <alignment horizontal="right" wrapText="1"/>
      <protection locked="0"/>
    </xf>
    <xf numFmtId="43" fontId="17" fillId="0" borderId="39" xfId="1" applyNumberFormat="1" applyFont="1" applyFill="1" applyBorder="1" applyAlignment="1">
      <alignment horizontal="center"/>
    </xf>
    <xf numFmtId="43" fontId="0" fillId="3" borderId="20" xfId="0" applyNumberFormat="1" applyFill="1" applyBorder="1" applyProtection="1">
      <protection locked="0"/>
    </xf>
    <xf numFmtId="43" fontId="0" fillId="3" borderId="14" xfId="0" applyNumberFormat="1" applyFill="1" applyBorder="1" applyProtection="1">
      <protection locked="0"/>
    </xf>
    <xf numFmtId="43" fontId="0" fillId="3" borderId="14" xfId="0" quotePrefix="1" applyNumberFormat="1" applyFill="1" applyBorder="1" applyAlignment="1" applyProtection="1">
      <alignment horizontal="right"/>
      <protection locked="0"/>
    </xf>
    <xf numFmtId="43" fontId="0" fillId="3" borderId="52" xfId="0" applyNumberFormat="1" applyFill="1" applyBorder="1" applyProtection="1">
      <protection locked="0"/>
    </xf>
    <xf numFmtId="43" fontId="0" fillId="4" borderId="25" xfId="0" applyNumberFormat="1" applyFill="1" applyBorder="1" applyAlignment="1" applyProtection="1"/>
    <xf numFmtId="0" fontId="23" fillId="0" borderId="0" xfId="0" applyFont="1" applyFill="1" applyBorder="1" applyProtection="1"/>
    <xf numFmtId="43" fontId="0" fillId="0" borderId="41" xfId="0" applyNumberFormat="1" applyFill="1" applyBorder="1" applyProtection="1"/>
    <xf numFmtId="0" fontId="33" fillId="0" borderId="0" xfId="0" applyFont="1"/>
    <xf numFmtId="168" fontId="0" fillId="0" borderId="26" xfId="0" applyNumberFormat="1" applyBorder="1"/>
    <xf numFmtId="0" fontId="0" fillId="0" borderId="0" xfId="0" applyAlignment="1">
      <alignment horizontal="left"/>
    </xf>
    <xf numFmtId="41" fontId="0" fillId="0" borderId="68" xfId="0" applyNumberFormat="1" applyBorder="1"/>
    <xf numFmtId="41" fontId="0" fillId="0" borderId="23" xfId="0" quotePrefix="1" applyNumberFormat="1" applyBorder="1" applyAlignment="1" applyProtection="1">
      <alignment horizontal="center"/>
    </xf>
    <xf numFmtId="41" fontId="0" fillId="0" borderId="24" xfId="0" quotePrefix="1" applyNumberFormat="1" applyBorder="1" applyAlignment="1" applyProtection="1">
      <alignment horizontal="center"/>
    </xf>
    <xf numFmtId="4" fontId="6" fillId="0" borderId="6" xfId="0" applyNumberFormat="1" applyFont="1" applyFill="1" applyBorder="1" applyProtection="1"/>
    <xf numFmtId="0" fontId="0" fillId="5" borderId="69" xfId="0" applyFill="1" applyBorder="1" applyAlignment="1" applyProtection="1">
      <alignment horizontal="center"/>
    </xf>
    <xf numFmtId="43" fontId="0" fillId="4" borderId="5" xfId="0" quotePrefix="1" applyNumberFormat="1" applyFont="1" applyFill="1" applyBorder="1"/>
    <xf numFmtId="43" fontId="0" fillId="4" borderId="12" xfId="0" quotePrefix="1" applyNumberFormat="1" applyFont="1" applyFill="1" applyBorder="1"/>
    <xf numFmtId="43" fontId="0" fillId="4" borderId="37" xfId="0" quotePrefix="1" applyNumberFormat="1" applyFont="1" applyFill="1" applyBorder="1"/>
    <xf numFmtId="43" fontId="0" fillId="4" borderId="29" xfId="0" quotePrefix="1" applyNumberFormat="1" applyFont="1" applyFill="1" applyBorder="1"/>
    <xf numFmtId="43" fontId="0" fillId="4" borderId="18" xfId="0" quotePrefix="1" applyNumberFormat="1" applyFont="1" applyFill="1" applyBorder="1"/>
    <xf numFmtId="0" fontId="14" fillId="6" borderId="0" xfId="0" applyFont="1" applyFill="1"/>
    <xf numFmtId="0" fontId="0" fillId="6" borderId="0" xfId="0" applyFill="1"/>
    <xf numFmtId="0" fontId="0" fillId="6" borderId="0" xfId="0" quotePrefix="1" applyFill="1"/>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18" fillId="0" borderId="0" xfId="2" applyAlignment="1"/>
    <xf numFmtId="0" fontId="0" fillId="0" borderId="0" xfId="0" applyAlignment="1"/>
    <xf numFmtId="0" fontId="8" fillId="3" borderId="13" xfId="0" applyFont="1" applyFill="1" applyBorder="1" applyAlignment="1" applyProtection="1">
      <alignment horizontal="right"/>
      <protection locked="0"/>
    </xf>
    <xf numFmtId="0" fontId="8" fillId="3" borderId="14" xfId="0" applyFont="1" applyFill="1" applyBorder="1" applyAlignment="1" applyProtection="1">
      <alignment horizontal="right"/>
      <protection locked="0"/>
    </xf>
    <xf numFmtId="0" fontId="8" fillId="3" borderId="15" xfId="0" applyFont="1" applyFill="1" applyBorder="1" applyAlignment="1" applyProtection="1">
      <alignment horizontal="right"/>
      <protection locked="0"/>
    </xf>
    <xf numFmtId="0" fontId="0" fillId="3" borderId="13" xfId="0" applyFont="1" applyFill="1" applyBorder="1" applyAlignment="1" applyProtection="1">
      <alignment horizontal="right"/>
      <protection locked="0"/>
    </xf>
    <xf numFmtId="0" fontId="0" fillId="3" borderId="14" xfId="0" applyFont="1" applyFill="1" applyBorder="1" applyAlignment="1" applyProtection="1">
      <alignment horizontal="right"/>
      <protection locked="0"/>
    </xf>
    <xf numFmtId="0" fontId="0" fillId="3" borderId="15" xfId="0" applyFont="1" applyFill="1" applyBorder="1" applyAlignment="1" applyProtection="1">
      <alignment horizontal="right"/>
      <protection locked="0"/>
    </xf>
    <xf numFmtId="0" fontId="3" fillId="3" borderId="13" xfId="0" applyFont="1" applyFill="1" applyBorder="1" applyAlignment="1" applyProtection="1">
      <alignment horizontal="right"/>
      <protection locked="0"/>
    </xf>
    <xf numFmtId="0" fontId="3" fillId="3" borderId="14" xfId="0" applyFont="1" applyFill="1" applyBorder="1" applyAlignment="1" applyProtection="1">
      <alignment horizontal="right"/>
      <protection locked="0"/>
    </xf>
    <xf numFmtId="0" fontId="3" fillId="3" borderId="15" xfId="0" applyFont="1" applyFill="1" applyBorder="1" applyAlignment="1" applyProtection="1">
      <alignment horizontal="right"/>
      <protection locked="0"/>
    </xf>
    <xf numFmtId="0" fontId="0" fillId="3" borderId="13" xfId="0" applyFill="1" applyBorder="1" applyAlignment="1" applyProtection="1">
      <alignment horizontal="right"/>
      <protection locked="0"/>
    </xf>
    <xf numFmtId="0" fontId="0" fillId="3" borderId="14" xfId="0" applyFill="1" applyBorder="1" applyAlignment="1" applyProtection="1">
      <alignment horizontal="right"/>
      <protection locked="0"/>
    </xf>
    <xf numFmtId="0" fontId="0" fillId="3" borderId="15" xfId="0" applyFill="1" applyBorder="1" applyAlignment="1" applyProtection="1">
      <alignment horizontal="right"/>
      <protection locked="0"/>
    </xf>
    <xf numFmtId="0" fontId="0" fillId="5" borderId="36" xfId="0" applyFill="1" applyBorder="1" applyAlignment="1">
      <alignment horizontal="center"/>
    </xf>
    <xf numFmtId="0" fontId="0" fillId="5" borderId="10" xfId="0" applyFill="1" applyBorder="1" applyAlignment="1">
      <alignment horizontal="center"/>
    </xf>
    <xf numFmtId="0" fontId="6" fillId="5" borderId="46" xfId="0" quotePrefix="1" applyFont="1" applyFill="1" applyBorder="1" applyAlignment="1" applyProtection="1">
      <alignment horizontal="center"/>
    </xf>
    <xf numFmtId="0" fontId="6" fillId="5" borderId="1" xfId="0" quotePrefix="1" applyFont="1" applyFill="1" applyBorder="1" applyAlignment="1" applyProtection="1">
      <alignment horizontal="center"/>
    </xf>
    <xf numFmtId="0" fontId="6" fillId="5" borderId="10" xfId="0" quotePrefix="1" applyFont="1" applyFill="1" applyBorder="1" applyAlignment="1" applyProtection="1">
      <alignment horizontal="center"/>
    </xf>
    <xf numFmtId="0" fontId="0" fillId="5" borderId="53" xfId="0" applyFill="1" applyBorder="1" applyAlignment="1" applyProtection="1">
      <alignment horizontal="center"/>
    </xf>
    <xf numFmtId="0" fontId="0" fillId="5" borderId="11" xfId="0" applyFill="1" applyBorder="1" applyAlignment="1" applyProtection="1">
      <alignment horizontal="center"/>
    </xf>
    <xf numFmtId="0" fontId="0" fillId="5" borderId="46" xfId="0" applyFill="1" applyBorder="1" applyAlignment="1" applyProtection="1">
      <alignment horizontal="center"/>
    </xf>
    <xf numFmtId="0" fontId="0" fillId="5" borderId="47" xfId="0" applyFill="1" applyBorder="1" applyAlignment="1" applyProtection="1">
      <alignment horizontal="center"/>
    </xf>
    <xf numFmtId="0" fontId="26" fillId="5" borderId="44" xfId="0" applyFont="1" applyFill="1" applyBorder="1" applyAlignment="1" applyProtection="1">
      <alignment horizontal="center"/>
    </xf>
    <xf numFmtId="0" fontId="26" fillId="5" borderId="40" xfId="0" applyFont="1" applyFill="1" applyBorder="1" applyAlignment="1" applyProtection="1">
      <alignment horizontal="center"/>
    </xf>
    <xf numFmtId="0" fontId="0" fillId="5" borderId="36" xfId="0" applyFill="1" applyBorder="1" applyAlignment="1" applyProtection="1">
      <alignment horizontal="center"/>
    </xf>
    <xf numFmtId="0" fontId="0" fillId="5" borderId="10" xfId="0" applyFill="1" applyBorder="1" applyAlignment="1" applyProtection="1">
      <alignment horizontal="center"/>
    </xf>
    <xf numFmtId="0" fontId="0" fillId="5" borderId="54" xfId="0" applyFill="1" applyBorder="1" applyAlignment="1">
      <alignment horizontal="center"/>
    </xf>
    <xf numFmtId="0" fontId="0" fillId="5" borderId="14" xfId="0" applyFill="1" applyBorder="1" applyAlignment="1">
      <alignment horizontal="center"/>
    </xf>
    <xf numFmtId="0" fontId="0" fillId="5" borderId="15" xfId="0" applyFill="1" applyBorder="1" applyAlignment="1">
      <alignment horizontal="center"/>
    </xf>
  </cellXfs>
  <cellStyles count="4">
    <cellStyle name="Comma" xfId="3" builtinId="3"/>
    <cellStyle name="Hyperlink" xfId="2" builtinId="8"/>
    <cellStyle name="Normal" xfId="0" builtinId="0"/>
    <cellStyle name="Normal 2 3" xfId="1" xr:uid="{00000000-0005-0000-0000-000003000000}"/>
  </cellStyles>
  <dxfs count="2">
    <dxf>
      <font>
        <color rgb="FFFF0000"/>
      </font>
    </dxf>
    <dxf>
      <font>
        <color rgb="FFFF0000"/>
      </font>
    </dxf>
  </dxfs>
  <tableStyles count="0" defaultTableStyle="TableStyleMedium2" defaultPivotStyle="PivotStyleLight16"/>
  <colors>
    <mruColors>
      <color rgb="FFFFFF99"/>
      <color rgb="FFFFFFCC"/>
      <color rgb="FFFFFF66"/>
      <color rgb="FF0000FF"/>
      <color rgb="FF0033CC"/>
      <color rgb="FFFF3300"/>
      <color rgb="FF003399"/>
      <color rgb="FFD0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476250</xdr:colOff>
      <xdr:row>12</xdr:row>
      <xdr:rowOff>102785</xdr:rowOff>
    </xdr:from>
    <xdr:to>
      <xdr:col>11</xdr:col>
      <xdr:colOff>495300</xdr:colOff>
      <xdr:row>16</xdr:row>
      <xdr:rowOff>131502</xdr:rowOff>
    </xdr:to>
    <xdr:pic>
      <xdr:nvPicPr>
        <xdr:cNvPr id="3" name="Picture 2">
          <a:extLst>
            <a:ext uri="{FF2B5EF4-FFF2-40B4-BE49-F238E27FC236}">
              <a16:creationId xmlns:a16="http://schemas.microsoft.com/office/drawing/2014/main" id="{888C87BE-AE25-454D-A65C-866273721110}"/>
            </a:ext>
          </a:extLst>
        </xdr:cNvPr>
        <xdr:cNvPicPr>
          <a:picLocks noChangeAspect="1"/>
        </xdr:cNvPicPr>
      </xdr:nvPicPr>
      <xdr:blipFill>
        <a:blip xmlns:r="http://schemas.openxmlformats.org/officeDocument/2006/relationships" r:embed="rId1"/>
        <a:stretch>
          <a:fillRect/>
        </a:stretch>
      </xdr:blipFill>
      <xdr:spPr>
        <a:xfrm>
          <a:off x="5476875" y="2388785"/>
          <a:ext cx="1962150" cy="7907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ndsu.edu/agriculture/ag-hub/ag-topics/farm-management" TargetMode="External"/><Relationship Id="rId1" Type="http://schemas.openxmlformats.org/officeDocument/2006/relationships/hyperlink" Target="https://www.fsa.usda.gov/programs-and-services/arcplc_program/arcplc-program-data/index"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P419"/>
  <sheetViews>
    <sheetView showGridLines="0" tabSelected="1" zoomScaleNormal="100" workbookViewId="0">
      <selection activeCell="M2" sqref="M2"/>
    </sheetView>
  </sheetViews>
  <sheetFormatPr defaultRowHeight="15" x14ac:dyDescent="0.25"/>
  <cols>
    <col min="1" max="1" width="10.28515625" customWidth="1"/>
    <col min="2" max="2" width="5.7109375" customWidth="1"/>
    <col min="3" max="3" width="10.42578125" customWidth="1"/>
    <col min="4" max="12" width="9.7109375" customWidth="1"/>
    <col min="32" max="34" width="9.140625" customWidth="1"/>
    <col min="35" max="40" width="9.140625" hidden="1" customWidth="1"/>
    <col min="41" max="41" width="9.28515625" hidden="1" customWidth="1"/>
    <col min="42" max="67" width="9.140625" hidden="1" customWidth="1"/>
    <col min="68" max="70" width="9.140625" customWidth="1"/>
  </cols>
  <sheetData>
    <row r="1" spans="1:63" x14ac:dyDescent="0.25">
      <c r="A1" s="3" t="s">
        <v>393</v>
      </c>
      <c r="B1" s="23"/>
      <c r="C1" s="23"/>
      <c r="D1" s="23"/>
      <c r="G1" s="24" t="s">
        <v>389</v>
      </c>
      <c r="H1" s="5"/>
      <c r="K1" s="143" t="s">
        <v>412</v>
      </c>
      <c r="M1" s="11"/>
    </row>
    <row r="2" spans="1:63" x14ac:dyDescent="0.25">
      <c r="A2" s="23" t="s">
        <v>404</v>
      </c>
      <c r="B2" s="23"/>
      <c r="C2" s="23"/>
      <c r="D2" s="23"/>
      <c r="E2" s="23"/>
      <c r="F2" s="23"/>
      <c r="G2" s="23"/>
      <c r="H2" s="23"/>
      <c r="I2" s="23"/>
      <c r="J2" s="23"/>
      <c r="K2" s="23"/>
      <c r="L2" s="23"/>
    </row>
    <row r="3" spans="1:63" x14ac:dyDescent="0.25">
      <c r="A3" s="23" t="s">
        <v>391</v>
      </c>
      <c r="B3" s="23"/>
      <c r="C3" s="23"/>
      <c r="D3" s="23"/>
      <c r="E3" s="23"/>
      <c r="F3" s="23"/>
      <c r="G3" s="23"/>
      <c r="H3" s="23"/>
      <c r="I3" s="23"/>
      <c r="J3" s="23"/>
      <c r="K3" s="23"/>
      <c r="L3" s="23"/>
    </row>
    <row r="4" spans="1:63" x14ac:dyDescent="0.25">
      <c r="A4" s="23" t="s">
        <v>405</v>
      </c>
      <c r="B4" s="23"/>
      <c r="C4" s="23"/>
      <c r="D4" s="23"/>
      <c r="E4" s="23"/>
      <c r="F4" s="23"/>
      <c r="G4" s="23"/>
      <c r="H4" s="23"/>
      <c r="I4" s="23"/>
      <c r="J4" s="23"/>
      <c r="K4" s="23"/>
      <c r="L4" s="23"/>
    </row>
    <row r="5" spans="1:63" x14ac:dyDescent="0.25">
      <c r="A5" s="23" t="s">
        <v>406</v>
      </c>
      <c r="B5" s="23"/>
      <c r="C5" s="23"/>
      <c r="D5" s="23"/>
      <c r="E5" s="23"/>
      <c r="F5" s="23"/>
      <c r="G5" s="23"/>
      <c r="H5" s="23"/>
      <c r="I5" s="23"/>
      <c r="J5" s="23"/>
      <c r="K5" s="23"/>
      <c r="L5" s="23"/>
    </row>
    <row r="6" spans="1:63" x14ac:dyDescent="0.25">
      <c r="A6" s="23" t="s">
        <v>407</v>
      </c>
      <c r="B6" s="23"/>
      <c r="C6" s="23"/>
      <c r="D6" s="23"/>
      <c r="E6" s="23"/>
      <c r="F6" s="23"/>
      <c r="G6" s="23"/>
      <c r="H6" s="23"/>
      <c r="I6" s="23"/>
      <c r="J6" s="23"/>
      <c r="K6" s="23"/>
      <c r="L6" s="23"/>
    </row>
    <row r="7" spans="1:63" x14ac:dyDescent="0.25">
      <c r="A7" s="23" t="s">
        <v>408</v>
      </c>
      <c r="B7" s="23"/>
      <c r="C7" s="23"/>
      <c r="D7" s="23"/>
      <c r="E7" s="23"/>
      <c r="F7" s="23"/>
      <c r="G7" s="23"/>
      <c r="H7" s="23"/>
      <c r="I7" s="23"/>
      <c r="J7" s="23"/>
      <c r="K7" s="23"/>
      <c r="L7" s="23"/>
      <c r="M7" s="23"/>
      <c r="R7" s="23"/>
      <c r="S7" s="23"/>
    </row>
    <row r="8" spans="1:63" x14ac:dyDescent="0.25">
      <c r="A8" s="23" t="s">
        <v>409</v>
      </c>
      <c r="B8" s="23"/>
      <c r="C8" s="23"/>
      <c r="D8" s="23"/>
      <c r="E8" s="23"/>
      <c r="F8" s="23"/>
      <c r="G8" s="23"/>
      <c r="H8" s="23"/>
      <c r="I8" s="23"/>
      <c r="J8" s="23"/>
      <c r="K8" s="23"/>
      <c r="L8" s="23"/>
      <c r="M8" s="23"/>
      <c r="O8" s="23"/>
      <c r="R8" s="23"/>
      <c r="S8" s="23"/>
    </row>
    <row r="9" spans="1:63" x14ac:dyDescent="0.25">
      <c r="A9" s="23" t="s">
        <v>413</v>
      </c>
      <c r="H9" s="23"/>
      <c r="L9" s="23"/>
      <c r="M9" s="23"/>
      <c r="O9" s="1"/>
      <c r="R9" s="23"/>
      <c r="S9" s="23"/>
    </row>
    <row r="10" spans="1:63" x14ac:dyDescent="0.25">
      <c r="A10" s="23" t="s">
        <v>215</v>
      </c>
      <c r="B10" s="23"/>
      <c r="D10" s="23"/>
      <c r="F10" s="23"/>
      <c r="H10" s="419" t="s">
        <v>387</v>
      </c>
      <c r="I10" s="420"/>
      <c r="J10" s="420"/>
      <c r="K10" s="420"/>
      <c r="L10" s="420"/>
      <c r="M10" s="420"/>
      <c r="N10" s="420"/>
      <c r="O10" s="324"/>
      <c r="BC10" t="s">
        <v>180</v>
      </c>
    </row>
    <row r="11" spans="1:63" x14ac:dyDescent="0.25">
      <c r="A11" s="23" t="s">
        <v>207</v>
      </c>
      <c r="B11" s="23"/>
      <c r="C11" s="23"/>
      <c r="E11" s="419" t="s">
        <v>383</v>
      </c>
      <c r="F11" s="420"/>
      <c r="G11" s="420"/>
      <c r="H11" s="420"/>
      <c r="I11" s="420"/>
      <c r="J11" s="420"/>
      <c r="K11" s="420"/>
      <c r="L11" s="420"/>
      <c r="M11" s="420"/>
      <c r="BC11" t="s">
        <v>179</v>
      </c>
    </row>
    <row r="12" spans="1:63" x14ac:dyDescent="0.25">
      <c r="A12" s="413" t="s">
        <v>417</v>
      </c>
      <c r="B12" s="414"/>
      <c r="C12" s="415"/>
      <c r="D12" s="39"/>
      <c r="E12" s="39"/>
      <c r="F12" s="39"/>
      <c r="G12" s="39"/>
      <c r="H12" s="39"/>
      <c r="I12" s="39"/>
      <c r="J12" s="39"/>
      <c r="K12" s="39"/>
      <c r="L12" s="23"/>
      <c r="M12" s="23"/>
      <c r="BC12" s="22" t="s">
        <v>182</v>
      </c>
      <c r="BD12" s="22"/>
      <c r="BE12" s="22"/>
      <c r="BF12" s="22"/>
      <c r="BG12" s="22"/>
      <c r="BH12" s="22"/>
    </row>
    <row r="13" spans="1:63" x14ac:dyDescent="0.25">
      <c r="A13" s="24" t="s">
        <v>32</v>
      </c>
      <c r="B13" s="41"/>
      <c r="C13" s="23"/>
      <c r="D13" s="23"/>
      <c r="E13" s="23"/>
      <c r="F13" s="23"/>
      <c r="G13" s="23"/>
      <c r="H13" s="23"/>
      <c r="I13" s="23"/>
      <c r="J13" s="23"/>
      <c r="K13" s="23"/>
      <c r="L13" s="23"/>
      <c r="M13" s="23"/>
      <c r="BC13">
        <f>COUNTIF(ND,B17)</f>
        <v>1</v>
      </c>
      <c r="BE13" s="11">
        <f>COUNTIF(MN,B17)</f>
        <v>0</v>
      </c>
      <c r="BG13" s="11">
        <f>COUNTIF(MT,B17)</f>
        <v>0</v>
      </c>
      <c r="BI13" s="11">
        <f>COUNTIF(SD,B17)</f>
        <v>0</v>
      </c>
      <c r="BK13" t="s">
        <v>33</v>
      </c>
    </row>
    <row r="14" spans="1:63" x14ac:dyDescent="0.25">
      <c r="A14" s="261" t="s">
        <v>16</v>
      </c>
      <c r="B14" s="424" t="s">
        <v>414</v>
      </c>
      <c r="C14" s="425"/>
      <c r="D14" s="426"/>
      <c r="E14" s="13"/>
      <c r="F14" s="323" t="s">
        <v>394</v>
      </c>
      <c r="I14" s="13"/>
      <c r="J14" s="13"/>
      <c r="K14" s="13"/>
      <c r="L14" s="13"/>
      <c r="BK14" t="s">
        <v>372</v>
      </c>
    </row>
    <row r="15" spans="1:63" x14ac:dyDescent="0.25">
      <c r="A15" s="262" t="s">
        <v>17</v>
      </c>
      <c r="B15" s="427">
        <v>9999</v>
      </c>
      <c r="C15" s="428"/>
      <c r="D15" s="429"/>
      <c r="F15" s="4"/>
      <c r="J15" s="4"/>
      <c r="BC15" s="27" t="s">
        <v>34</v>
      </c>
      <c r="BE15" s="28" t="s">
        <v>86</v>
      </c>
      <c r="BG15" s="219" t="s">
        <v>253</v>
      </c>
      <c r="BH15" s="2"/>
      <c r="BI15" s="219" t="s">
        <v>305</v>
      </c>
      <c r="BK15" t="s">
        <v>0</v>
      </c>
    </row>
    <row r="16" spans="1:63" x14ac:dyDescent="0.25">
      <c r="A16" s="263" t="s">
        <v>15</v>
      </c>
      <c r="B16" s="430" t="s">
        <v>0</v>
      </c>
      <c r="C16" s="431"/>
      <c r="D16" s="432"/>
      <c r="E16" s="25" t="s">
        <v>31</v>
      </c>
      <c r="F16" s="57"/>
      <c r="J16" s="4"/>
      <c r="K16" s="4"/>
      <c r="L16" s="4"/>
      <c r="BC16" s="27" t="s">
        <v>35</v>
      </c>
      <c r="BE16" s="28" t="s">
        <v>87</v>
      </c>
      <c r="BG16" s="219" t="s">
        <v>254</v>
      </c>
      <c r="BH16" s="2"/>
      <c r="BI16" s="219" t="s">
        <v>306</v>
      </c>
      <c r="BK16" t="s">
        <v>373</v>
      </c>
    </row>
    <row r="17" spans="1:65" x14ac:dyDescent="0.25">
      <c r="A17" s="264" t="s">
        <v>14</v>
      </c>
      <c r="B17" s="421" t="s">
        <v>59</v>
      </c>
      <c r="C17" s="422"/>
      <c r="D17" s="423"/>
      <c r="E17" s="25" t="str">
        <f>IF(AND(BM18=1,BE13&lt;&gt;1),"&lt;--select a MN county",IF(AND(BM18=2,BG13&lt;&gt;1),"&lt;--select a MT county",IF(AND(BM18=3,BC13&lt;&gt;1),"&lt;--select a ND county",IF(AND(BM18=4,BI13&lt;&gt;1),"&lt;--select a SD county","&lt;--required"))))</f>
        <v>&lt;--required</v>
      </c>
      <c r="J17" s="4"/>
      <c r="K17" s="4"/>
      <c r="L17" s="57"/>
      <c r="BC17" s="27" t="s">
        <v>36</v>
      </c>
      <c r="BE17" s="28" t="s">
        <v>88</v>
      </c>
      <c r="BG17" s="219" t="s">
        <v>255</v>
      </c>
      <c r="BH17" s="2"/>
      <c r="BI17" s="219" t="s">
        <v>307</v>
      </c>
      <c r="BK17" s="22" t="s">
        <v>376</v>
      </c>
      <c r="BL17" s="22"/>
      <c r="BM17" s="22"/>
    </row>
    <row r="18" spans="1:65" x14ac:dyDescent="0.25">
      <c r="A18" s="4"/>
      <c r="B18" s="4"/>
      <c r="C18" s="4"/>
      <c r="D18" s="4"/>
      <c r="E18" s="4"/>
      <c r="F18" s="323" t="str">
        <f>IF(B17="Chouteau MT","Split county, only sub-county A of Chouteau MT is used","")</f>
        <v/>
      </c>
      <c r="J18" s="4"/>
      <c r="K18" s="4"/>
      <c r="L18" s="4"/>
      <c r="BC18" s="27" t="s">
        <v>37</v>
      </c>
      <c r="BE18" s="28" t="s">
        <v>89</v>
      </c>
      <c r="BG18" s="219" t="s">
        <v>256</v>
      </c>
      <c r="BH18" s="2"/>
      <c r="BI18" s="219" t="s">
        <v>308</v>
      </c>
      <c r="BK18" t="s">
        <v>177</v>
      </c>
      <c r="BM18">
        <f>IF(B16=BK13,1,IF(B16=BK14,2,IF(B16=BK15,3,4)))</f>
        <v>3</v>
      </c>
    </row>
    <row r="19" spans="1:65" x14ac:dyDescent="0.25">
      <c r="D19" s="4"/>
      <c r="E19" s="4"/>
      <c r="F19" s="4"/>
      <c r="J19" s="4"/>
      <c r="K19" s="4"/>
      <c r="L19" s="4"/>
      <c r="AS19" s="10"/>
      <c r="AT19" s="10"/>
      <c r="AU19" s="2"/>
      <c r="BC19" s="27" t="s">
        <v>38</v>
      </c>
      <c r="BE19" s="28" t="s">
        <v>90</v>
      </c>
      <c r="BG19" s="219" t="s">
        <v>257</v>
      </c>
      <c r="BH19" s="2"/>
      <c r="BI19" s="219" t="s">
        <v>309</v>
      </c>
      <c r="BK19" t="s">
        <v>178</v>
      </c>
    </row>
    <row r="20" spans="1:65" ht="16.5" thickBot="1" x14ac:dyDescent="0.3">
      <c r="A20" s="191" t="str">
        <f>CONCATENATE("Table 1. ARC/PLC Payments with Estimated 2026 ",$B$17, " Co. Avg Yields and National MYA Prices*" )</f>
        <v>Table 1. ARC/PLC Payments with Estimated 2026 McIntosh ND Co. Avg Yields and National MYA Prices*</v>
      </c>
      <c r="B20" s="74"/>
      <c r="C20" s="74"/>
      <c r="D20" s="75"/>
      <c r="E20" s="60"/>
      <c r="F20" s="60"/>
      <c r="G20" s="74"/>
      <c r="H20" s="74"/>
      <c r="I20" s="76"/>
      <c r="J20" s="76"/>
      <c r="K20" s="57"/>
      <c r="L20" s="4"/>
      <c r="AI20" s="2"/>
      <c r="AK20" s="2"/>
      <c r="AL20" s="2"/>
      <c r="AM20" s="2"/>
      <c r="AN20" s="2"/>
      <c r="AP20" s="147"/>
      <c r="AQ20" s="146" t="s">
        <v>204</v>
      </c>
      <c r="AR20" s="153" t="s">
        <v>236</v>
      </c>
      <c r="AS20" s="154"/>
      <c r="AT20" s="42" t="s">
        <v>231</v>
      </c>
      <c r="AU20" s="146" t="s">
        <v>237</v>
      </c>
      <c r="AV20" s="189" t="s">
        <v>241</v>
      </c>
      <c r="AW20" s="182"/>
      <c r="AX20" s="6"/>
      <c r="AY20" s="189" t="s">
        <v>249</v>
      </c>
      <c r="AZ20" s="182"/>
      <c r="BC20" s="27" t="s">
        <v>39</v>
      </c>
      <c r="BE20" s="28" t="s">
        <v>91</v>
      </c>
      <c r="BG20" s="219" t="s">
        <v>258</v>
      </c>
      <c r="BH20" s="2"/>
      <c r="BI20" s="219" t="s">
        <v>310</v>
      </c>
      <c r="BK20" t="s">
        <v>374</v>
      </c>
    </row>
    <row r="21" spans="1:65" ht="15.75" thickBot="1" x14ac:dyDescent="0.3">
      <c r="A21" s="265"/>
      <c r="B21" s="266"/>
      <c r="C21" s="277"/>
      <c r="D21" s="278" t="s">
        <v>24</v>
      </c>
      <c r="E21" s="438" t="s">
        <v>402</v>
      </c>
      <c r="F21" s="439"/>
      <c r="G21" s="440" t="s">
        <v>189</v>
      </c>
      <c r="H21" s="441"/>
      <c r="L21" s="4"/>
      <c r="M21" s="11"/>
      <c r="AI21" s="2"/>
      <c r="AK21" s="2"/>
      <c r="AO21" s="2"/>
      <c r="AP21" s="67" t="s">
        <v>201</v>
      </c>
      <c r="AQ21" s="149" t="s">
        <v>221</v>
      </c>
      <c r="AR21" s="157" t="s">
        <v>245</v>
      </c>
      <c r="AS21" s="148" t="s">
        <v>229</v>
      </c>
      <c r="AT21" s="68" t="s">
        <v>232</v>
      </c>
      <c r="AU21" s="186" t="s">
        <v>239</v>
      </c>
      <c r="AV21" s="188" t="s">
        <v>244</v>
      </c>
      <c r="AW21" s="155"/>
      <c r="AX21" s="7" t="s">
        <v>237</v>
      </c>
      <c r="AY21" s="188" t="s">
        <v>250</v>
      </c>
      <c r="AZ21" s="155"/>
      <c r="BC21" s="27" t="s">
        <v>40</v>
      </c>
      <c r="BE21" s="28" t="s">
        <v>92</v>
      </c>
      <c r="BG21" s="219" t="s">
        <v>259</v>
      </c>
      <c r="BH21" s="2"/>
      <c r="BI21" s="219" t="s">
        <v>311</v>
      </c>
      <c r="BK21" t="s">
        <v>375</v>
      </c>
    </row>
    <row r="22" spans="1:65" ht="15.75" thickBot="1" x14ac:dyDescent="0.3">
      <c r="A22" s="267"/>
      <c r="B22" s="268"/>
      <c r="C22" s="279" t="s">
        <v>27</v>
      </c>
      <c r="D22" s="280" t="s">
        <v>25</v>
      </c>
      <c r="E22" s="281" t="s">
        <v>14</v>
      </c>
      <c r="F22" s="282" t="s">
        <v>191</v>
      </c>
      <c r="G22" s="442" t="s">
        <v>381</v>
      </c>
      <c r="H22" s="443"/>
      <c r="I22" s="403">
        <f>MAX(G24:H24)+MAX(G25:H25)+MAX(G26:H26)+MAX(G27:H27)+MAX(G28:H28)+MAX(G29+H29)+MAX(G30:H30)+MAX(G31:H31)+MAX(G32:H32)+MAX(G33:H33)+MAX(G34+H34)+MAX(G35:H35)+MAX(G36:H36)+MAX(G37:H37)+MAX(G38:H38)+MAX(G39:H39)+MAX(G40:H40)</f>
        <v>19371.737659999999</v>
      </c>
      <c r="J22" s="402" t="s">
        <v>415</v>
      </c>
      <c r="AI22" s="2"/>
      <c r="AJ22" s="416" t="s">
        <v>30</v>
      </c>
      <c r="AK22" s="417"/>
      <c r="AL22" s="417"/>
      <c r="AM22" s="417"/>
      <c r="AN22" s="417"/>
      <c r="AO22" s="418"/>
      <c r="AP22" s="161" t="s">
        <v>220</v>
      </c>
      <c r="AQ22" s="149" t="s">
        <v>205</v>
      </c>
      <c r="AR22" s="67" t="s">
        <v>226</v>
      </c>
      <c r="AS22" s="67" t="s">
        <v>230</v>
      </c>
      <c r="AT22" s="157" t="s">
        <v>227</v>
      </c>
      <c r="AU22" s="186" t="s">
        <v>240</v>
      </c>
      <c r="AV22" s="188" t="s">
        <v>243</v>
      </c>
      <c r="AW22" s="155"/>
      <c r="AX22" s="67" t="s">
        <v>238</v>
      </c>
      <c r="AY22" s="188" t="s">
        <v>243</v>
      </c>
      <c r="AZ22" s="155"/>
      <c r="BC22" s="27" t="s">
        <v>41</v>
      </c>
      <c r="BE22" s="28" t="s">
        <v>93</v>
      </c>
      <c r="BG22" s="219" t="s">
        <v>260</v>
      </c>
      <c r="BH22" s="2"/>
      <c r="BI22" s="219" t="s">
        <v>312</v>
      </c>
      <c r="BK22" t="s">
        <v>371</v>
      </c>
    </row>
    <row r="23" spans="1:65" x14ac:dyDescent="0.25">
      <c r="A23" s="269" t="s">
        <v>18</v>
      </c>
      <c r="B23" s="270" t="s">
        <v>22</v>
      </c>
      <c r="C23" s="283" t="s">
        <v>188</v>
      </c>
      <c r="D23" s="284" t="s">
        <v>186</v>
      </c>
      <c r="E23" s="253" t="s">
        <v>190</v>
      </c>
      <c r="F23" s="285" t="s">
        <v>183</v>
      </c>
      <c r="G23" s="286" t="s">
        <v>202</v>
      </c>
      <c r="H23" s="272" t="s">
        <v>24</v>
      </c>
      <c r="J23" s="402" t="s">
        <v>416</v>
      </c>
      <c r="AJ23" s="181" t="s">
        <v>18</v>
      </c>
      <c r="AK23" s="168" t="s">
        <v>19</v>
      </c>
      <c r="AL23" s="171" t="s">
        <v>195</v>
      </c>
      <c r="AM23" s="170" t="s">
        <v>193</v>
      </c>
      <c r="AN23" s="169" t="s">
        <v>194</v>
      </c>
      <c r="AO23" s="29" t="s">
        <v>225</v>
      </c>
      <c r="AP23" s="68" t="s">
        <v>221</v>
      </c>
      <c r="AQ23" s="150" t="s">
        <v>223</v>
      </c>
      <c r="AR23" s="68" t="s">
        <v>201</v>
      </c>
      <c r="AS23" s="68" t="s">
        <v>201</v>
      </c>
      <c r="AT23" s="68" t="s">
        <v>228</v>
      </c>
      <c r="AU23" s="186" t="s">
        <v>235</v>
      </c>
      <c r="AV23" s="190" t="s">
        <v>242</v>
      </c>
      <c r="AW23" s="156"/>
      <c r="AX23" s="67" t="s">
        <v>252</v>
      </c>
      <c r="AY23" s="190" t="s">
        <v>251</v>
      </c>
      <c r="AZ23" s="156"/>
      <c r="BC23" s="27" t="s">
        <v>42</v>
      </c>
      <c r="BE23" s="28" t="s">
        <v>94</v>
      </c>
      <c r="BG23" s="219" t="s">
        <v>261</v>
      </c>
      <c r="BH23" s="2"/>
      <c r="BI23" s="219" t="s">
        <v>313</v>
      </c>
    </row>
    <row r="24" spans="1:65" x14ac:dyDescent="0.25">
      <c r="A24" s="271" t="s">
        <v>1</v>
      </c>
      <c r="B24" s="272" t="s">
        <v>23</v>
      </c>
      <c r="C24" s="393">
        <v>100</v>
      </c>
      <c r="D24" s="43">
        <v>50</v>
      </c>
      <c r="E24" s="144">
        <v>55</v>
      </c>
      <c r="F24" s="178">
        <v>5.5</v>
      </c>
      <c r="G24" s="162">
        <f t="shared" ref="G24:G36" si="0">H50*0.85*C24</f>
        <v>1557.1999999999994</v>
      </c>
      <c r="H24" s="163">
        <f t="shared" ref="H24:H36" si="1">L50*0.85*C24</f>
        <v>3612.4999999999986</v>
      </c>
      <c r="I24" s="323" t="str">
        <f t="shared" ref="I24:I36" si="2">IF(H76&gt;0,"","&lt; No benchmark yield  for ARC calc")</f>
        <v/>
      </c>
      <c r="AJ24" s="66" t="s">
        <v>1</v>
      </c>
      <c r="AK24" s="12">
        <f t="shared" ref="AK24:AK40" si="3">IF(C24&gt;0.001,1,0)</f>
        <v>1</v>
      </c>
      <c r="AL24" s="6">
        <f t="shared" ref="AL24:AL40" si="4">IF(D24&gt;0.001,1,0)</f>
        <v>1</v>
      </c>
      <c r="AM24" s="15">
        <f t="shared" ref="AM24:AM40" si="5">IF(F24&gt;0.001,1,0)</f>
        <v>1</v>
      </c>
      <c r="AN24" s="12">
        <f t="shared" ref="AN24:AN40" si="6">IF(E24&gt;0.001,1,0)</f>
        <v>1</v>
      </c>
      <c r="AO24" s="6">
        <f t="shared" ref="AO24:AO36" si="7">IF(AO50&gt;0,1,0)</f>
        <v>1</v>
      </c>
      <c r="AP24" s="63">
        <f t="shared" ref="AP24:AP40" si="8">IF(AND(AK24=1,SUM(AL24:AN24)&lt;3),1,0)</f>
        <v>0</v>
      </c>
      <c r="AQ24" s="16" t="str">
        <f t="shared" ref="AQ24:AQ40" si="9">IF(AP24=1,A24,"")</f>
        <v/>
      </c>
      <c r="AR24" s="104">
        <f>((AK24+AM24+AN24)=3)*1</f>
        <v>1</v>
      </c>
      <c r="AS24" s="155">
        <f>((AK24+AL24+AM24)=3)*1</f>
        <v>1</v>
      </c>
      <c r="AT24">
        <f>(AK24+AL24=2)*1</f>
        <v>1</v>
      </c>
      <c r="AU24" s="187">
        <f>IF(AK24=0,0,IF(AM24+AN24+AO24=3,0,1))</f>
        <v>0</v>
      </c>
      <c r="AV24" s="16" t="str">
        <f t="shared" ref="AV24:AV40" si="10">IF(AU24=1,A24,"")</f>
        <v/>
      </c>
      <c r="AX24" s="63">
        <f>IF(AK24=0,0,IF(AM24+AL24=2,0,1))</f>
        <v>0</v>
      </c>
      <c r="AY24" s="187" t="str">
        <f>IF(AX24=1,A24,"")</f>
        <v/>
      </c>
      <c r="AZ24" s="15"/>
      <c r="BC24" s="27" t="s">
        <v>43</v>
      </c>
      <c r="BE24" s="28" t="s">
        <v>95</v>
      </c>
      <c r="BG24" s="219" t="s">
        <v>262</v>
      </c>
      <c r="BH24" s="2"/>
      <c r="BI24" s="219" t="s">
        <v>314</v>
      </c>
    </row>
    <row r="25" spans="1:65" x14ac:dyDescent="0.25">
      <c r="A25" s="271" t="s">
        <v>2</v>
      </c>
      <c r="B25" s="272" t="s">
        <v>23</v>
      </c>
      <c r="C25" s="394">
        <v>100</v>
      </c>
      <c r="D25" s="43">
        <v>25</v>
      </c>
      <c r="E25" s="144">
        <v>30</v>
      </c>
      <c r="F25" s="178">
        <v>9.5</v>
      </c>
      <c r="G25" s="162">
        <f t="shared" si="0"/>
        <v>3964.8399599999998</v>
      </c>
      <c r="H25" s="163">
        <f t="shared" si="1"/>
        <v>2571.2500000000018</v>
      </c>
      <c r="I25" s="323" t="str">
        <f t="shared" si="2"/>
        <v/>
      </c>
      <c r="AJ25" s="18" t="s">
        <v>2</v>
      </c>
      <c r="AK25" s="8">
        <f t="shared" si="3"/>
        <v>1</v>
      </c>
      <c r="AL25" s="7">
        <f t="shared" si="4"/>
        <v>1</v>
      </c>
      <c r="AM25" s="2">
        <f t="shared" si="5"/>
        <v>1</v>
      </c>
      <c r="AN25" s="8">
        <f t="shared" si="6"/>
        <v>1</v>
      </c>
      <c r="AO25" s="7">
        <f t="shared" si="7"/>
        <v>1</v>
      </c>
      <c r="AP25" s="64">
        <f t="shared" si="8"/>
        <v>0</v>
      </c>
      <c r="AQ25" s="16" t="str">
        <f t="shared" si="9"/>
        <v/>
      </c>
      <c r="AR25" s="104">
        <f t="shared" ref="AR25:AR40" si="11">((AK25+AM25+AN25)=3)*1</f>
        <v>1</v>
      </c>
      <c r="AS25" s="155">
        <f t="shared" ref="AS25:AS40" si="12">((AK25+AL25+AM25)=3)*1</f>
        <v>1</v>
      </c>
      <c r="AT25">
        <f t="shared" ref="AT25:AT40" si="13">(AK25+AL25=2)*1</f>
        <v>1</v>
      </c>
      <c r="AU25" s="16">
        <f t="shared" ref="AU25:AU40" si="14">IF(AK25=0,0,IF(AM25+AN25+AO25=3,0,1))</f>
        <v>0</v>
      </c>
      <c r="AV25" s="8" t="str">
        <f t="shared" si="10"/>
        <v/>
      </c>
      <c r="AX25" s="64">
        <f t="shared" ref="AX25:AX40" si="15">IF(AK25=0,0,IF(AM25+AL25=2,0,1))</f>
        <v>0</v>
      </c>
      <c r="AY25" s="16" t="str">
        <f t="shared" ref="AY25:AY40" si="16">IF(AX25=1,A25,"")</f>
        <v/>
      </c>
      <c r="AZ25" s="2"/>
      <c r="BC25" s="27" t="s">
        <v>44</v>
      </c>
      <c r="BE25" s="28" t="s">
        <v>96</v>
      </c>
      <c r="BG25" s="219" t="s">
        <v>263</v>
      </c>
      <c r="BH25" s="2"/>
      <c r="BI25" s="219" t="s">
        <v>315</v>
      </c>
    </row>
    <row r="26" spans="1:65" x14ac:dyDescent="0.25">
      <c r="A26" s="271" t="s">
        <v>3</v>
      </c>
      <c r="B26" s="272" t="s">
        <v>23</v>
      </c>
      <c r="C26" s="394">
        <v>100</v>
      </c>
      <c r="D26" s="43">
        <v>120</v>
      </c>
      <c r="E26" s="144">
        <v>140</v>
      </c>
      <c r="F26" s="178">
        <v>3.75</v>
      </c>
      <c r="G26" s="162">
        <f t="shared" si="0"/>
        <v>6949.3976999999986</v>
      </c>
      <c r="H26" s="163">
        <f t="shared" si="1"/>
        <v>6833.9999999999991</v>
      </c>
      <c r="I26" s="323" t="str">
        <f t="shared" si="2"/>
        <v/>
      </c>
      <c r="AJ26" s="18" t="s">
        <v>3</v>
      </c>
      <c r="AK26" s="8">
        <f t="shared" si="3"/>
        <v>1</v>
      </c>
      <c r="AL26" s="7">
        <f t="shared" si="4"/>
        <v>1</v>
      </c>
      <c r="AM26" s="2">
        <f t="shared" si="5"/>
        <v>1</v>
      </c>
      <c r="AN26" s="8">
        <f t="shared" si="6"/>
        <v>1</v>
      </c>
      <c r="AO26" s="7">
        <f t="shared" si="7"/>
        <v>1</v>
      </c>
      <c r="AP26" s="64">
        <f t="shared" si="8"/>
        <v>0</v>
      </c>
      <c r="AQ26" s="16" t="str">
        <f t="shared" si="9"/>
        <v/>
      </c>
      <c r="AR26" s="104">
        <f t="shared" si="11"/>
        <v>1</v>
      </c>
      <c r="AS26" s="155">
        <f t="shared" si="12"/>
        <v>1</v>
      </c>
      <c r="AT26">
        <f t="shared" si="13"/>
        <v>1</v>
      </c>
      <c r="AU26" s="16">
        <f t="shared" si="14"/>
        <v>0</v>
      </c>
      <c r="AV26" s="8" t="str">
        <f t="shared" si="10"/>
        <v/>
      </c>
      <c r="AX26" s="64">
        <f t="shared" si="15"/>
        <v>0</v>
      </c>
      <c r="AY26" s="16" t="str">
        <f t="shared" si="16"/>
        <v/>
      </c>
      <c r="AZ26" s="2"/>
      <c r="BC26" s="27" t="s">
        <v>45</v>
      </c>
      <c r="BE26" s="28" t="s">
        <v>97</v>
      </c>
      <c r="BG26" s="219" t="s">
        <v>264</v>
      </c>
      <c r="BH26" s="2"/>
      <c r="BI26" s="219" t="s">
        <v>316</v>
      </c>
    </row>
    <row r="27" spans="1:65" x14ac:dyDescent="0.25">
      <c r="A27" s="271" t="s">
        <v>20</v>
      </c>
      <c r="B27" s="272" t="s">
        <v>23</v>
      </c>
      <c r="C27" s="394">
        <v>100</v>
      </c>
      <c r="D27" s="43">
        <v>60</v>
      </c>
      <c r="E27" s="144">
        <v>75</v>
      </c>
      <c r="F27" s="178">
        <v>4.5</v>
      </c>
      <c r="G27" s="162">
        <f t="shared" si="0"/>
        <v>4681.5286799999994</v>
      </c>
      <c r="H27" s="163">
        <f t="shared" si="1"/>
        <v>4845.0000000000009</v>
      </c>
      <c r="I27" s="323" t="str">
        <f t="shared" si="2"/>
        <v/>
      </c>
      <c r="AJ27" s="18" t="s">
        <v>20</v>
      </c>
      <c r="AK27" s="8">
        <f t="shared" si="3"/>
        <v>1</v>
      </c>
      <c r="AL27" s="7">
        <f t="shared" si="4"/>
        <v>1</v>
      </c>
      <c r="AM27" s="2">
        <f t="shared" si="5"/>
        <v>1</v>
      </c>
      <c r="AN27" s="8">
        <f t="shared" si="6"/>
        <v>1</v>
      </c>
      <c r="AO27" s="7">
        <f t="shared" si="7"/>
        <v>1</v>
      </c>
      <c r="AP27" s="64">
        <f t="shared" si="8"/>
        <v>0</v>
      </c>
      <c r="AQ27" s="16" t="str">
        <f t="shared" si="9"/>
        <v/>
      </c>
      <c r="AR27" s="104">
        <f t="shared" si="11"/>
        <v>1</v>
      </c>
      <c r="AS27" s="155">
        <f t="shared" si="12"/>
        <v>1</v>
      </c>
      <c r="AT27">
        <f t="shared" si="13"/>
        <v>1</v>
      </c>
      <c r="AU27" s="16">
        <f t="shared" si="14"/>
        <v>0</v>
      </c>
      <c r="AV27" s="8" t="str">
        <f t="shared" si="10"/>
        <v/>
      </c>
      <c r="AX27" s="64">
        <f t="shared" si="15"/>
        <v>0</v>
      </c>
      <c r="AY27" s="16" t="str">
        <f t="shared" si="16"/>
        <v/>
      </c>
      <c r="AZ27" s="2"/>
      <c r="BC27" s="27" t="s">
        <v>46</v>
      </c>
      <c r="BE27" s="28" t="s">
        <v>98</v>
      </c>
      <c r="BG27" s="219" t="s">
        <v>265</v>
      </c>
      <c r="BH27" s="2"/>
      <c r="BI27" s="219" t="s">
        <v>317</v>
      </c>
    </row>
    <row r="28" spans="1:65" x14ac:dyDescent="0.25">
      <c r="A28" s="271" t="s">
        <v>5</v>
      </c>
      <c r="B28" s="272" t="s">
        <v>23</v>
      </c>
      <c r="C28" s="394"/>
      <c r="D28" s="43"/>
      <c r="E28" s="144"/>
      <c r="F28" s="178">
        <v>2.5</v>
      </c>
      <c r="G28" s="162">
        <f t="shared" si="0"/>
        <v>0</v>
      </c>
      <c r="H28" s="163">
        <f t="shared" si="1"/>
        <v>0</v>
      </c>
      <c r="I28" s="323" t="str">
        <f t="shared" si="2"/>
        <v/>
      </c>
      <c r="AJ28" s="18" t="s">
        <v>5</v>
      </c>
      <c r="AK28" s="8">
        <f t="shared" si="3"/>
        <v>0</v>
      </c>
      <c r="AL28" s="7">
        <f t="shared" si="4"/>
        <v>0</v>
      </c>
      <c r="AM28" s="2">
        <f t="shared" si="5"/>
        <v>1</v>
      </c>
      <c r="AN28" s="8">
        <f t="shared" si="6"/>
        <v>0</v>
      </c>
      <c r="AO28" s="7">
        <f t="shared" si="7"/>
        <v>1</v>
      </c>
      <c r="AP28" s="64">
        <f t="shared" si="8"/>
        <v>0</v>
      </c>
      <c r="AQ28" s="16" t="str">
        <f t="shared" si="9"/>
        <v/>
      </c>
      <c r="AR28" s="104">
        <f t="shared" si="11"/>
        <v>0</v>
      </c>
      <c r="AS28" s="155">
        <f t="shared" si="12"/>
        <v>0</v>
      </c>
      <c r="AT28">
        <f t="shared" si="13"/>
        <v>0</v>
      </c>
      <c r="AU28" s="16">
        <f t="shared" si="14"/>
        <v>0</v>
      </c>
      <c r="AV28" s="8" t="str">
        <f t="shared" si="10"/>
        <v/>
      </c>
      <c r="AX28" s="64">
        <f t="shared" si="15"/>
        <v>0</v>
      </c>
      <c r="AY28" s="16" t="str">
        <f t="shared" si="16"/>
        <v/>
      </c>
      <c r="AZ28" s="2"/>
      <c r="BC28" s="27" t="s">
        <v>47</v>
      </c>
      <c r="BE28" s="28" t="s">
        <v>99</v>
      </c>
      <c r="BG28" s="219" t="s">
        <v>266</v>
      </c>
      <c r="BH28" s="2"/>
      <c r="BI28" s="219" t="s">
        <v>318</v>
      </c>
    </row>
    <row r="29" spans="1:65" x14ac:dyDescent="0.25">
      <c r="A29" s="271" t="s">
        <v>6</v>
      </c>
      <c r="B29" s="272" t="s">
        <v>23</v>
      </c>
      <c r="C29" s="395"/>
      <c r="D29" s="44"/>
      <c r="E29" s="144"/>
      <c r="F29" s="178">
        <v>13</v>
      </c>
      <c r="G29" s="162">
        <f t="shared" si="0"/>
        <v>0</v>
      </c>
      <c r="H29" s="163">
        <f t="shared" si="1"/>
        <v>0</v>
      </c>
      <c r="I29" s="323" t="str">
        <f t="shared" si="2"/>
        <v/>
      </c>
      <c r="AJ29" s="18" t="s">
        <v>6</v>
      </c>
      <c r="AK29" s="8">
        <f t="shared" si="3"/>
        <v>0</v>
      </c>
      <c r="AL29" s="7">
        <f t="shared" si="4"/>
        <v>0</v>
      </c>
      <c r="AM29" s="2">
        <f t="shared" si="5"/>
        <v>1</v>
      </c>
      <c r="AN29" s="8">
        <f t="shared" si="6"/>
        <v>0</v>
      </c>
      <c r="AO29" s="7">
        <f t="shared" si="7"/>
        <v>1</v>
      </c>
      <c r="AP29" s="64">
        <f t="shared" si="8"/>
        <v>0</v>
      </c>
      <c r="AQ29" s="16" t="str">
        <f t="shared" si="9"/>
        <v/>
      </c>
      <c r="AR29" s="104">
        <f t="shared" si="11"/>
        <v>0</v>
      </c>
      <c r="AS29" s="155">
        <f t="shared" si="12"/>
        <v>0</v>
      </c>
      <c r="AT29">
        <f t="shared" si="13"/>
        <v>0</v>
      </c>
      <c r="AU29" s="16">
        <f t="shared" si="14"/>
        <v>0</v>
      </c>
      <c r="AV29" s="8" t="str">
        <f t="shared" si="10"/>
        <v/>
      </c>
      <c r="AX29" s="64">
        <f t="shared" si="15"/>
        <v>0</v>
      </c>
      <c r="AY29" s="16" t="str">
        <f t="shared" si="16"/>
        <v/>
      </c>
      <c r="AZ29" s="2"/>
      <c r="BC29" s="27" t="s">
        <v>48</v>
      </c>
      <c r="BE29" s="28" t="s">
        <v>100</v>
      </c>
      <c r="BG29" s="219" t="s">
        <v>267</v>
      </c>
      <c r="BH29" s="2"/>
      <c r="BI29" s="219" t="s">
        <v>319</v>
      </c>
    </row>
    <row r="30" spans="1:65" x14ac:dyDescent="0.25">
      <c r="A30" s="271" t="s">
        <v>187</v>
      </c>
      <c r="B30" s="272" t="s">
        <v>23</v>
      </c>
      <c r="C30" s="395"/>
      <c r="D30" s="44"/>
      <c r="E30" s="144"/>
      <c r="F30" s="178">
        <v>3.9</v>
      </c>
      <c r="G30" s="162">
        <f t="shared" si="0"/>
        <v>0</v>
      </c>
      <c r="H30" s="163">
        <f t="shared" si="1"/>
        <v>0</v>
      </c>
      <c r="I30" s="323" t="str">
        <f t="shared" si="2"/>
        <v/>
      </c>
      <c r="AJ30" s="18" t="s">
        <v>187</v>
      </c>
      <c r="AK30" s="8">
        <f t="shared" si="3"/>
        <v>0</v>
      </c>
      <c r="AL30" s="7">
        <f t="shared" si="4"/>
        <v>0</v>
      </c>
      <c r="AM30" s="2">
        <f t="shared" si="5"/>
        <v>1</v>
      </c>
      <c r="AN30" s="8">
        <f t="shared" si="6"/>
        <v>0</v>
      </c>
      <c r="AO30" s="7">
        <f t="shared" si="7"/>
        <v>1</v>
      </c>
      <c r="AP30" s="64">
        <f t="shared" si="8"/>
        <v>0</v>
      </c>
      <c r="AQ30" s="16" t="str">
        <f t="shared" si="9"/>
        <v/>
      </c>
      <c r="AR30" s="104">
        <f t="shared" si="11"/>
        <v>0</v>
      </c>
      <c r="AS30" s="155">
        <f t="shared" si="12"/>
        <v>0</v>
      </c>
      <c r="AT30">
        <f t="shared" si="13"/>
        <v>0</v>
      </c>
      <c r="AU30" s="16">
        <f t="shared" si="14"/>
        <v>0</v>
      </c>
      <c r="AV30" s="8" t="str">
        <f t="shared" si="10"/>
        <v/>
      </c>
      <c r="AX30" s="64">
        <f t="shared" si="15"/>
        <v>0</v>
      </c>
      <c r="AY30" s="16" t="str">
        <f t="shared" si="16"/>
        <v/>
      </c>
      <c r="AZ30" s="2"/>
      <c r="BC30" s="27" t="s">
        <v>49</v>
      </c>
      <c r="BE30" s="28" t="s">
        <v>101</v>
      </c>
      <c r="BG30" s="219" t="s">
        <v>268</v>
      </c>
      <c r="BH30" s="2"/>
      <c r="BI30" s="219" t="s">
        <v>320</v>
      </c>
    </row>
    <row r="31" spans="1:65" x14ac:dyDescent="0.25">
      <c r="A31" s="271" t="s">
        <v>7</v>
      </c>
      <c r="B31" s="272" t="s">
        <v>28</v>
      </c>
      <c r="C31" s="394"/>
      <c r="D31" s="43"/>
      <c r="E31" s="144"/>
      <c r="F31" s="179">
        <v>0.2</v>
      </c>
      <c r="G31" s="162">
        <f t="shared" si="0"/>
        <v>0</v>
      </c>
      <c r="H31" s="163">
        <f t="shared" si="1"/>
        <v>0</v>
      </c>
      <c r="I31" s="323" t="str">
        <f t="shared" si="2"/>
        <v/>
      </c>
      <c r="AJ31" s="18" t="s">
        <v>7</v>
      </c>
      <c r="AK31" s="8">
        <f t="shared" si="3"/>
        <v>0</v>
      </c>
      <c r="AL31" s="7">
        <f t="shared" si="4"/>
        <v>0</v>
      </c>
      <c r="AM31" s="2">
        <f t="shared" si="5"/>
        <v>1</v>
      </c>
      <c r="AN31" s="8">
        <f t="shared" si="6"/>
        <v>0</v>
      </c>
      <c r="AO31" s="7">
        <f t="shared" si="7"/>
        <v>1</v>
      </c>
      <c r="AP31" s="64">
        <f t="shared" si="8"/>
        <v>0</v>
      </c>
      <c r="AQ31" s="16" t="str">
        <f t="shared" si="9"/>
        <v/>
      </c>
      <c r="AR31" s="104">
        <f t="shared" si="11"/>
        <v>0</v>
      </c>
      <c r="AS31" s="155">
        <f t="shared" si="12"/>
        <v>0</v>
      </c>
      <c r="AT31">
        <f t="shared" si="13"/>
        <v>0</v>
      </c>
      <c r="AU31" s="16">
        <f t="shared" si="14"/>
        <v>0</v>
      </c>
      <c r="AV31" s="8" t="str">
        <f t="shared" si="10"/>
        <v/>
      </c>
      <c r="AX31" s="64">
        <f t="shared" si="15"/>
        <v>0</v>
      </c>
      <c r="AY31" s="16" t="str">
        <f t="shared" si="16"/>
        <v/>
      </c>
      <c r="AZ31" s="2"/>
      <c r="BC31" s="27" t="s">
        <v>50</v>
      </c>
      <c r="BE31" s="28" t="s">
        <v>102</v>
      </c>
      <c r="BG31" s="219" t="s">
        <v>269</v>
      </c>
      <c r="BH31" s="2"/>
      <c r="BI31" s="219" t="s">
        <v>321</v>
      </c>
    </row>
    <row r="32" spans="1:65" x14ac:dyDescent="0.25">
      <c r="A32" s="271" t="s">
        <v>21</v>
      </c>
      <c r="B32" s="272" t="s">
        <v>28</v>
      </c>
      <c r="C32" s="394"/>
      <c r="D32" s="43"/>
      <c r="E32" s="144"/>
      <c r="F32" s="179">
        <v>0.21</v>
      </c>
      <c r="G32" s="162">
        <f t="shared" si="0"/>
        <v>0</v>
      </c>
      <c r="H32" s="163">
        <f t="shared" si="1"/>
        <v>0</v>
      </c>
      <c r="I32" s="323" t="str">
        <f t="shared" si="2"/>
        <v/>
      </c>
      <c r="AJ32" s="18" t="s">
        <v>21</v>
      </c>
      <c r="AK32" s="8">
        <f t="shared" si="3"/>
        <v>0</v>
      </c>
      <c r="AL32" s="7">
        <f t="shared" si="4"/>
        <v>0</v>
      </c>
      <c r="AM32" s="2">
        <f t="shared" si="5"/>
        <v>1</v>
      </c>
      <c r="AN32" s="8">
        <f t="shared" si="6"/>
        <v>0</v>
      </c>
      <c r="AO32" s="7">
        <f t="shared" si="7"/>
        <v>1</v>
      </c>
      <c r="AP32" s="64">
        <f t="shared" si="8"/>
        <v>0</v>
      </c>
      <c r="AQ32" s="16" t="str">
        <f t="shared" si="9"/>
        <v/>
      </c>
      <c r="AR32" s="104">
        <f t="shared" si="11"/>
        <v>0</v>
      </c>
      <c r="AS32" s="155">
        <f t="shared" si="12"/>
        <v>0</v>
      </c>
      <c r="AT32">
        <f t="shared" si="13"/>
        <v>0</v>
      </c>
      <c r="AU32" s="16">
        <f t="shared" si="14"/>
        <v>0</v>
      </c>
      <c r="AV32" s="8" t="str">
        <f t="shared" si="10"/>
        <v/>
      </c>
      <c r="AX32" s="64">
        <f t="shared" si="15"/>
        <v>0</v>
      </c>
      <c r="AY32" s="16" t="str">
        <f t="shared" si="16"/>
        <v/>
      </c>
      <c r="AZ32" s="2"/>
      <c r="BC32" s="27" t="s">
        <v>51</v>
      </c>
      <c r="BE32" s="28" t="s">
        <v>103</v>
      </c>
      <c r="BG32" s="219" t="s">
        <v>270</v>
      </c>
      <c r="BH32" s="2"/>
      <c r="BI32" s="219" t="s">
        <v>322</v>
      </c>
    </row>
    <row r="33" spans="1:61" x14ac:dyDescent="0.25">
      <c r="A33" s="271" t="s">
        <v>10</v>
      </c>
      <c r="B33" s="272" t="s">
        <v>28</v>
      </c>
      <c r="C33" s="394"/>
      <c r="D33" s="43"/>
      <c r="E33" s="144"/>
      <c r="F33" s="179">
        <v>0.11</v>
      </c>
      <c r="G33" s="162">
        <f t="shared" si="0"/>
        <v>0</v>
      </c>
      <c r="H33" s="163">
        <f t="shared" si="1"/>
        <v>0</v>
      </c>
      <c r="I33" s="323" t="str">
        <f t="shared" si="2"/>
        <v/>
      </c>
      <c r="AJ33" s="18" t="s">
        <v>10</v>
      </c>
      <c r="AK33" s="8">
        <f t="shared" si="3"/>
        <v>0</v>
      </c>
      <c r="AL33" s="7">
        <f t="shared" si="4"/>
        <v>0</v>
      </c>
      <c r="AM33" s="2">
        <f t="shared" si="5"/>
        <v>1</v>
      </c>
      <c r="AN33" s="8">
        <f t="shared" si="6"/>
        <v>0</v>
      </c>
      <c r="AO33" s="7">
        <f t="shared" si="7"/>
        <v>1</v>
      </c>
      <c r="AP33" s="64">
        <f t="shared" si="8"/>
        <v>0</v>
      </c>
      <c r="AQ33" s="16" t="str">
        <f t="shared" si="9"/>
        <v/>
      </c>
      <c r="AR33" s="104">
        <f t="shared" si="11"/>
        <v>0</v>
      </c>
      <c r="AS33" s="155">
        <f t="shared" si="12"/>
        <v>0</v>
      </c>
      <c r="AT33">
        <f t="shared" si="13"/>
        <v>0</v>
      </c>
      <c r="AU33" s="16">
        <f t="shared" si="14"/>
        <v>0</v>
      </c>
      <c r="AV33" s="8" t="str">
        <f t="shared" si="10"/>
        <v/>
      </c>
      <c r="AX33" s="64">
        <f t="shared" si="15"/>
        <v>0</v>
      </c>
      <c r="AY33" s="16" t="str">
        <f t="shared" si="16"/>
        <v/>
      </c>
      <c r="AZ33" s="2"/>
      <c r="BC33" s="27" t="s">
        <v>52</v>
      </c>
      <c r="BE33" s="28" t="s">
        <v>104</v>
      </c>
      <c r="BG33" s="219" t="s">
        <v>271</v>
      </c>
      <c r="BH33" s="2"/>
      <c r="BI33" s="219" t="s">
        <v>323</v>
      </c>
    </row>
    <row r="34" spans="1:61" x14ac:dyDescent="0.25">
      <c r="A34" s="271" t="s">
        <v>11</v>
      </c>
      <c r="B34" s="272" t="s">
        <v>28</v>
      </c>
      <c r="C34" s="394"/>
      <c r="D34" s="43"/>
      <c r="E34" s="144"/>
      <c r="F34" s="179">
        <v>0.19</v>
      </c>
      <c r="G34" s="162">
        <f t="shared" si="0"/>
        <v>0</v>
      </c>
      <c r="H34" s="163">
        <f t="shared" si="1"/>
        <v>0</v>
      </c>
      <c r="I34" s="323" t="str">
        <f t="shared" si="2"/>
        <v/>
      </c>
      <c r="AJ34" s="18" t="s">
        <v>11</v>
      </c>
      <c r="AK34" s="8">
        <f t="shared" si="3"/>
        <v>0</v>
      </c>
      <c r="AL34" s="7">
        <f t="shared" si="4"/>
        <v>0</v>
      </c>
      <c r="AM34" s="2">
        <f t="shared" si="5"/>
        <v>1</v>
      </c>
      <c r="AN34" s="8">
        <f t="shared" si="6"/>
        <v>0</v>
      </c>
      <c r="AO34" s="7">
        <f t="shared" si="7"/>
        <v>1</v>
      </c>
      <c r="AP34" s="64">
        <f t="shared" si="8"/>
        <v>0</v>
      </c>
      <c r="AQ34" s="16" t="str">
        <f t="shared" si="9"/>
        <v/>
      </c>
      <c r="AR34" s="104">
        <f t="shared" si="11"/>
        <v>0</v>
      </c>
      <c r="AS34" s="155">
        <f t="shared" si="12"/>
        <v>0</v>
      </c>
      <c r="AT34">
        <f t="shared" si="13"/>
        <v>0</v>
      </c>
      <c r="AU34" s="16">
        <f t="shared" si="14"/>
        <v>0</v>
      </c>
      <c r="AV34" s="8" t="str">
        <f t="shared" si="10"/>
        <v/>
      </c>
      <c r="AX34" s="64">
        <f t="shared" si="15"/>
        <v>0</v>
      </c>
      <c r="AY34" s="16" t="str">
        <f t="shared" si="16"/>
        <v/>
      </c>
      <c r="AZ34" s="2"/>
      <c r="BC34" s="27" t="s">
        <v>53</v>
      </c>
      <c r="BE34" s="28" t="s">
        <v>173</v>
      </c>
      <c r="BG34" s="219" t="s">
        <v>272</v>
      </c>
      <c r="BH34" s="2"/>
      <c r="BI34" s="219" t="s">
        <v>324</v>
      </c>
    </row>
    <row r="35" spans="1:61" x14ac:dyDescent="0.25">
      <c r="A35" s="271" t="s">
        <v>8</v>
      </c>
      <c r="B35" s="272" t="s">
        <v>28</v>
      </c>
      <c r="C35" s="394"/>
      <c r="D35" s="43"/>
      <c r="E35" s="144"/>
      <c r="F35" s="179">
        <v>0.22</v>
      </c>
      <c r="G35" s="162">
        <f>H61*0.85*C35</f>
        <v>0</v>
      </c>
      <c r="H35" s="163">
        <f t="shared" si="1"/>
        <v>0</v>
      </c>
      <c r="I35" s="323" t="str">
        <f t="shared" si="2"/>
        <v>&lt; No benchmark yield  for ARC calc</v>
      </c>
      <c r="AJ35" s="18" t="s">
        <v>8</v>
      </c>
      <c r="AK35" s="8">
        <f t="shared" si="3"/>
        <v>0</v>
      </c>
      <c r="AL35" s="7">
        <f t="shared" si="4"/>
        <v>0</v>
      </c>
      <c r="AM35" s="2">
        <f t="shared" si="5"/>
        <v>1</v>
      </c>
      <c r="AN35" s="8">
        <f t="shared" si="6"/>
        <v>0</v>
      </c>
      <c r="AO35" s="7">
        <f t="shared" si="7"/>
        <v>0</v>
      </c>
      <c r="AP35" s="64">
        <f t="shared" si="8"/>
        <v>0</v>
      </c>
      <c r="AQ35" s="16" t="str">
        <f t="shared" si="9"/>
        <v/>
      </c>
      <c r="AR35" s="104">
        <f t="shared" si="11"/>
        <v>0</v>
      </c>
      <c r="AS35" s="155">
        <f t="shared" si="12"/>
        <v>0</v>
      </c>
      <c r="AT35">
        <f t="shared" si="13"/>
        <v>0</v>
      </c>
      <c r="AU35" s="16">
        <f t="shared" si="14"/>
        <v>0</v>
      </c>
      <c r="AV35" s="8" t="str">
        <f t="shared" si="10"/>
        <v/>
      </c>
      <c r="AX35" s="64">
        <f t="shared" si="15"/>
        <v>0</v>
      </c>
      <c r="AY35" s="16" t="str">
        <f t="shared" si="16"/>
        <v/>
      </c>
      <c r="AZ35" s="2"/>
      <c r="BC35" s="27" t="s">
        <v>54</v>
      </c>
      <c r="BE35" s="28" t="s">
        <v>105</v>
      </c>
      <c r="BG35" s="219" t="s">
        <v>273</v>
      </c>
      <c r="BH35" s="2"/>
      <c r="BI35" s="219" t="s">
        <v>325</v>
      </c>
    </row>
    <row r="36" spans="1:61" x14ac:dyDescent="0.25">
      <c r="A36" s="271" t="s">
        <v>9</v>
      </c>
      <c r="B36" s="272" t="s">
        <v>28</v>
      </c>
      <c r="C36" s="394"/>
      <c r="D36" s="43"/>
      <c r="E36" s="144"/>
      <c r="F36" s="179">
        <v>0.28000000000000003</v>
      </c>
      <c r="G36" s="162">
        <f t="shared" si="0"/>
        <v>0</v>
      </c>
      <c r="H36" s="163">
        <f t="shared" si="1"/>
        <v>0</v>
      </c>
      <c r="I36" s="323" t="str">
        <f t="shared" si="2"/>
        <v/>
      </c>
      <c r="AJ36" s="18" t="s">
        <v>9</v>
      </c>
      <c r="AK36" s="8">
        <f t="shared" si="3"/>
        <v>0</v>
      </c>
      <c r="AL36" s="7">
        <f t="shared" si="4"/>
        <v>0</v>
      </c>
      <c r="AM36" s="2">
        <f t="shared" si="5"/>
        <v>1</v>
      </c>
      <c r="AN36" s="8">
        <f t="shared" si="6"/>
        <v>0</v>
      </c>
      <c r="AO36" s="7">
        <f t="shared" si="7"/>
        <v>1</v>
      </c>
      <c r="AP36" s="64">
        <f t="shared" si="8"/>
        <v>0</v>
      </c>
      <c r="AQ36" s="16" t="str">
        <f t="shared" si="9"/>
        <v/>
      </c>
      <c r="AR36" s="104">
        <f t="shared" si="11"/>
        <v>0</v>
      </c>
      <c r="AS36" s="155">
        <f t="shared" si="12"/>
        <v>0</v>
      </c>
      <c r="AT36">
        <f t="shared" si="13"/>
        <v>0</v>
      </c>
      <c r="AU36" s="16">
        <f t="shared" si="14"/>
        <v>0</v>
      </c>
      <c r="AV36" s="8" t="str">
        <f t="shared" si="10"/>
        <v/>
      </c>
      <c r="AX36" s="64">
        <f t="shared" si="15"/>
        <v>0</v>
      </c>
      <c r="AY36" s="16" t="str">
        <f t="shared" si="16"/>
        <v/>
      </c>
      <c r="AZ36" s="2"/>
      <c r="BC36" s="27" t="s">
        <v>55</v>
      </c>
      <c r="BE36" s="28" t="s">
        <v>106</v>
      </c>
      <c r="BG36" s="219" t="s">
        <v>274</v>
      </c>
      <c r="BH36" s="2"/>
      <c r="BI36" s="219" t="s">
        <v>326</v>
      </c>
    </row>
    <row r="37" spans="1:61" x14ac:dyDescent="0.25">
      <c r="A37" s="271" t="s">
        <v>410</v>
      </c>
      <c r="B37" s="272" t="s">
        <v>28</v>
      </c>
      <c r="C37" s="394"/>
      <c r="D37" s="43"/>
      <c r="E37" s="144"/>
      <c r="F37" s="179">
        <v>0.23</v>
      </c>
      <c r="G37" s="162">
        <f>H63*0.85*C37</f>
        <v>0</v>
      </c>
      <c r="H37" s="163">
        <f>L63*0.85*C37</f>
        <v>0</v>
      </c>
      <c r="I37" s="323" t="str">
        <f t="shared" ref="I37:I38" si="17">IF(H89&gt;0,"","&lt; No benchmark yield  for ARC calc")</f>
        <v>&lt; No benchmark yield  for ARC calc</v>
      </c>
      <c r="AJ37" s="18" t="s">
        <v>410</v>
      </c>
      <c r="AK37" s="8">
        <f t="shared" ref="AK37:AK38" si="18">IF(C37&gt;0.001,1,0)</f>
        <v>0</v>
      </c>
      <c r="AL37" s="7">
        <f t="shared" ref="AL37:AL38" si="19">IF(D37&gt;0.001,1,0)</f>
        <v>0</v>
      </c>
      <c r="AM37" s="2">
        <f t="shared" ref="AM37:AM38" si="20">IF(F37&gt;0.001,1,0)</f>
        <v>1</v>
      </c>
      <c r="AN37" s="8">
        <f t="shared" ref="AN37:AN38" si="21">IF(E37&gt;0.001,1,0)</f>
        <v>0</v>
      </c>
      <c r="AO37" s="7">
        <f>IF(AO63&gt;0,1,0)</f>
        <v>0</v>
      </c>
      <c r="AP37" s="64">
        <f t="shared" ref="AP37:AP38" si="22">IF(AND(AK37=1,SUM(AL37:AN37)&lt;3),1,0)</f>
        <v>0</v>
      </c>
      <c r="AQ37" s="16" t="str">
        <f t="shared" ref="AQ37:AQ38" si="23">IF(AP37=1,A37,"")</f>
        <v/>
      </c>
      <c r="AR37" s="104">
        <f t="shared" ref="AR37:AR38" si="24">((AK37+AM37+AN37)=3)*1</f>
        <v>0</v>
      </c>
      <c r="AS37" s="155">
        <f t="shared" ref="AS37:AS38" si="25">((AK37+AL37+AM37)=3)*1</f>
        <v>0</v>
      </c>
      <c r="AT37">
        <f t="shared" ref="AT37:AT38" si="26">(AK37+AL37=2)*1</f>
        <v>0</v>
      </c>
      <c r="AU37" s="16">
        <f t="shared" ref="AU37:AU38" si="27">IF(AK37=0,0,IF(AM37+AN37+AO37=3,0,1))</f>
        <v>0</v>
      </c>
      <c r="AV37" s="8" t="str">
        <f t="shared" ref="AV37:AV38" si="28">IF(AU37=1,A37,"")</f>
        <v/>
      </c>
      <c r="AX37" s="64">
        <f t="shared" ref="AX37:AX38" si="29">IF(AK37=0,0,IF(AM37+AL37=2,0,1))</f>
        <v>0</v>
      </c>
      <c r="AY37" s="16" t="str">
        <f t="shared" ref="AY37:AY38" si="30">IF(AX37=1,A37,"")</f>
        <v/>
      </c>
      <c r="AZ37" s="2"/>
      <c r="BC37" s="27" t="s">
        <v>56</v>
      </c>
      <c r="BE37" s="28" t="s">
        <v>107</v>
      </c>
      <c r="BG37" s="219" t="s">
        <v>275</v>
      </c>
      <c r="BH37" s="2"/>
      <c r="BI37" s="219" t="s">
        <v>327</v>
      </c>
    </row>
    <row r="38" spans="1:61" x14ac:dyDescent="0.25">
      <c r="A38" s="271" t="s">
        <v>411</v>
      </c>
      <c r="B38" s="272" t="s">
        <v>28</v>
      </c>
      <c r="C38" s="394"/>
      <c r="D38" s="43"/>
      <c r="E38" s="144"/>
      <c r="F38" s="179">
        <v>0.21</v>
      </c>
      <c r="G38" s="162">
        <f>H64*0.85*C38</f>
        <v>0</v>
      </c>
      <c r="H38" s="163">
        <f>L64*0.85*C38</f>
        <v>0</v>
      </c>
      <c r="I38" s="323" t="str">
        <f t="shared" si="17"/>
        <v>&lt; No benchmark yield  for ARC calc</v>
      </c>
      <c r="AJ38" s="18" t="s">
        <v>411</v>
      </c>
      <c r="AK38" s="8">
        <f t="shared" si="18"/>
        <v>0</v>
      </c>
      <c r="AL38" s="7">
        <f t="shared" si="19"/>
        <v>0</v>
      </c>
      <c r="AM38" s="2">
        <f t="shared" si="20"/>
        <v>1</v>
      </c>
      <c r="AN38" s="8">
        <f t="shared" si="21"/>
        <v>0</v>
      </c>
      <c r="AO38" s="7">
        <f>IF(AO64&gt;0,1,0)</f>
        <v>0</v>
      </c>
      <c r="AP38" s="64">
        <f t="shared" si="22"/>
        <v>0</v>
      </c>
      <c r="AQ38" s="16" t="str">
        <f t="shared" si="23"/>
        <v/>
      </c>
      <c r="AR38" s="104">
        <f t="shared" si="24"/>
        <v>0</v>
      </c>
      <c r="AS38" s="155">
        <f t="shared" si="25"/>
        <v>0</v>
      </c>
      <c r="AT38">
        <f t="shared" si="26"/>
        <v>0</v>
      </c>
      <c r="AU38" s="16">
        <f t="shared" si="27"/>
        <v>0</v>
      </c>
      <c r="AV38" s="8" t="str">
        <f t="shared" si="28"/>
        <v/>
      </c>
      <c r="AX38" s="64">
        <f t="shared" si="29"/>
        <v>0</v>
      </c>
      <c r="AY38" s="16" t="str">
        <f t="shared" si="30"/>
        <v/>
      </c>
      <c r="AZ38" s="2"/>
      <c r="BC38" s="27" t="s">
        <v>57</v>
      </c>
      <c r="BE38" s="28" t="s">
        <v>108</v>
      </c>
      <c r="BG38" s="219" t="s">
        <v>276</v>
      </c>
      <c r="BH38" s="2"/>
      <c r="BI38" s="219" t="s">
        <v>328</v>
      </c>
    </row>
    <row r="39" spans="1:61" x14ac:dyDescent="0.25">
      <c r="A39" s="271" t="s">
        <v>12</v>
      </c>
      <c r="B39" s="272" t="s">
        <v>28</v>
      </c>
      <c r="C39" s="394"/>
      <c r="D39" s="43"/>
      <c r="E39" s="144"/>
      <c r="F39" s="179">
        <v>0.27</v>
      </c>
      <c r="G39" s="162">
        <f>H65*0.85*C39</f>
        <v>0</v>
      </c>
      <c r="H39" s="163">
        <f>L65*0.85*C39</f>
        <v>0</v>
      </c>
      <c r="I39" s="323" t="str">
        <f t="shared" ref="I39:I40" si="31">IF(H91&gt;0,"","&lt; No benchmark yield  for ARC calc")</f>
        <v>&lt; No benchmark yield  for ARC calc</v>
      </c>
      <c r="AJ39" s="18" t="s">
        <v>12</v>
      </c>
      <c r="AK39" s="8">
        <f t="shared" si="3"/>
        <v>0</v>
      </c>
      <c r="AL39" s="7">
        <f t="shared" si="4"/>
        <v>0</v>
      </c>
      <c r="AM39" s="2">
        <f t="shared" si="5"/>
        <v>1</v>
      </c>
      <c r="AN39" s="8">
        <f t="shared" si="6"/>
        <v>0</v>
      </c>
      <c r="AO39" s="7">
        <f t="shared" ref="AO39:AO40" si="32">IF(AO65&gt;0,1,0)</f>
        <v>0</v>
      </c>
      <c r="AP39" s="64">
        <f t="shared" si="8"/>
        <v>0</v>
      </c>
      <c r="AQ39" s="16" t="str">
        <f t="shared" si="9"/>
        <v/>
      </c>
      <c r="AR39" s="104">
        <f t="shared" si="11"/>
        <v>0</v>
      </c>
      <c r="AS39" s="155">
        <f t="shared" si="12"/>
        <v>0</v>
      </c>
      <c r="AT39">
        <f t="shared" si="13"/>
        <v>0</v>
      </c>
      <c r="AU39" s="16">
        <f t="shared" si="14"/>
        <v>0</v>
      </c>
      <c r="AV39" s="8" t="str">
        <f t="shared" si="10"/>
        <v/>
      </c>
      <c r="AX39" s="64">
        <f t="shared" si="15"/>
        <v>0</v>
      </c>
      <c r="AY39" s="16" t="str">
        <f t="shared" si="16"/>
        <v/>
      </c>
      <c r="AZ39" s="2"/>
      <c r="BC39" s="27" t="s">
        <v>58</v>
      </c>
      <c r="BE39" s="28" t="s">
        <v>109</v>
      </c>
      <c r="BG39" s="219" t="s">
        <v>277</v>
      </c>
      <c r="BH39" s="2"/>
      <c r="BI39" s="219" t="s">
        <v>329</v>
      </c>
    </row>
    <row r="40" spans="1:61" ht="15.75" thickBot="1" x14ac:dyDescent="0.3">
      <c r="A40" s="273" t="s">
        <v>13</v>
      </c>
      <c r="B40" s="274" t="s">
        <v>28</v>
      </c>
      <c r="C40" s="396"/>
      <c r="D40" s="164"/>
      <c r="E40" s="165"/>
      <c r="F40" s="180">
        <v>0.25</v>
      </c>
      <c r="G40" s="404">
        <f>H66*0.85*C40</f>
        <v>0</v>
      </c>
      <c r="H40" s="405">
        <f>L66*0.85*C40</f>
        <v>0</v>
      </c>
      <c r="I40" s="323" t="str">
        <f t="shared" si="31"/>
        <v>&lt; No benchmark yield  for ARC calc</v>
      </c>
      <c r="AJ40" s="19" t="s">
        <v>13</v>
      </c>
      <c r="AK40" s="9">
        <f t="shared" si="3"/>
        <v>0</v>
      </c>
      <c r="AL40" s="17">
        <f t="shared" si="4"/>
        <v>0</v>
      </c>
      <c r="AM40" s="14">
        <f t="shared" si="5"/>
        <v>1</v>
      </c>
      <c r="AN40" s="9">
        <f t="shared" si="6"/>
        <v>0</v>
      </c>
      <c r="AO40" s="17">
        <f t="shared" si="32"/>
        <v>0</v>
      </c>
      <c r="AP40" s="65">
        <f t="shared" si="8"/>
        <v>0</v>
      </c>
      <c r="AQ40" s="34" t="str">
        <f t="shared" si="9"/>
        <v/>
      </c>
      <c r="AR40" s="145">
        <f t="shared" si="11"/>
        <v>0</v>
      </c>
      <c r="AS40" s="156">
        <f t="shared" si="12"/>
        <v>0</v>
      </c>
      <c r="AT40" s="14">
        <f t="shared" si="13"/>
        <v>0</v>
      </c>
      <c r="AU40" s="34">
        <f t="shared" si="14"/>
        <v>0</v>
      </c>
      <c r="AV40" s="9" t="str">
        <f t="shared" si="10"/>
        <v/>
      </c>
      <c r="AW40" s="156"/>
      <c r="AX40" s="65">
        <f t="shared" si="15"/>
        <v>0</v>
      </c>
      <c r="AY40" s="34" t="str">
        <f t="shared" si="16"/>
        <v/>
      </c>
      <c r="AZ40" s="14"/>
      <c r="BC40" s="27" t="s">
        <v>59</v>
      </c>
      <c r="BE40" s="28" t="s">
        <v>110</v>
      </c>
      <c r="BG40" s="219" t="s">
        <v>278</v>
      </c>
      <c r="BH40" s="2"/>
      <c r="BI40" s="219" t="s">
        <v>330</v>
      </c>
    </row>
    <row r="41" spans="1:61" x14ac:dyDescent="0.25">
      <c r="A41" s="275" t="s">
        <v>233</v>
      </c>
      <c r="B41" s="276"/>
      <c r="C41" s="397">
        <f>SUM(C24:C40)</f>
        <v>400</v>
      </c>
      <c r="D41" s="82"/>
      <c r="E41" s="83" t="str">
        <f>IF(I41&gt;125000,"               Note: Payment limit is $125,000","")</f>
        <v/>
      </c>
      <c r="F41" s="81"/>
      <c r="G41" s="398" t="s">
        <v>390</v>
      </c>
      <c r="H41" s="81"/>
      <c r="L41" s="4"/>
      <c r="AM41" t="s">
        <v>222</v>
      </c>
      <c r="AP41" s="58">
        <f>SUM(AP24:AP40)</f>
        <v>0</v>
      </c>
      <c r="AQ41" s="2"/>
      <c r="AU41" s="58">
        <f>SUM(AU24:AU40)</f>
        <v>0</v>
      </c>
      <c r="AX41" s="58">
        <f>SUM(AX24:AX40)</f>
        <v>0</v>
      </c>
      <c r="BC41" s="27" t="s">
        <v>60</v>
      </c>
      <c r="BE41" s="28" t="s">
        <v>111</v>
      </c>
      <c r="BG41" s="219" t="s">
        <v>279</v>
      </c>
      <c r="BH41" s="2"/>
      <c r="BI41" s="219" t="s">
        <v>331</v>
      </c>
    </row>
    <row r="42" spans="1:61" x14ac:dyDescent="0.25">
      <c r="A42" s="45" t="s">
        <v>392</v>
      </c>
      <c r="B42" s="78"/>
      <c r="C42" s="79"/>
      <c r="D42" s="80"/>
      <c r="E42" s="80"/>
      <c r="F42" s="80"/>
      <c r="G42" s="80"/>
      <c r="H42" s="80"/>
      <c r="I42" s="4"/>
      <c r="J42" s="4"/>
      <c r="K42" s="4"/>
      <c r="L42" s="4"/>
      <c r="AO42" s="104"/>
      <c r="BC42" s="27" t="s">
        <v>61</v>
      </c>
      <c r="BE42" s="28" t="s">
        <v>112</v>
      </c>
      <c r="BG42" s="219" t="s">
        <v>280</v>
      </c>
      <c r="BH42" s="2"/>
      <c r="BI42" s="219" t="s">
        <v>332</v>
      </c>
    </row>
    <row r="43" spans="1:61" ht="12.75" customHeight="1" x14ac:dyDescent="0.25">
      <c r="A43" s="45" t="s">
        <v>395</v>
      </c>
      <c r="B43" s="46"/>
      <c r="C43" s="47"/>
      <c r="D43" s="47"/>
      <c r="E43" s="47"/>
      <c r="F43" s="48"/>
      <c r="G43" s="48"/>
      <c r="H43" s="47"/>
      <c r="I43" s="4"/>
      <c r="J43" s="4"/>
      <c r="K43" s="4"/>
      <c r="L43" s="4"/>
      <c r="M43" s="4"/>
      <c r="AO43" s="104"/>
      <c r="AR43" s="11" t="s">
        <v>246</v>
      </c>
      <c r="BC43" s="27" t="s">
        <v>62</v>
      </c>
      <c r="BE43" s="28" t="s">
        <v>113</v>
      </c>
      <c r="BG43" s="219" t="s">
        <v>281</v>
      </c>
      <c r="BH43" s="2"/>
      <c r="BI43" s="219" t="s">
        <v>333</v>
      </c>
    </row>
    <row r="44" spans="1:61" x14ac:dyDescent="0.25">
      <c r="A44" s="51" t="str">
        <f>IF(AP41&gt;0,CONCATENATE("Must ENTER:  PLC yield, 2026 county avg yield and 2026 MYA price for base acre crop(s) ",AQ24," ",AQ25," ",AQ26," ",AQ27," ",AQ28," ",AQ29," ",AQ30," ",AQ31," ",AQ32," ",AQ33," ",AQ34," ",AQ35," ",AQ36," ",AQ37," ",AQ38," ",AQ39," ",AQ40),"")</f>
        <v/>
      </c>
      <c r="B44" s="49"/>
      <c r="C44" s="4"/>
      <c r="D44" s="4"/>
      <c r="E44" s="4"/>
      <c r="F44" s="4"/>
      <c r="G44" s="4"/>
      <c r="H44" s="50"/>
      <c r="I44" s="4"/>
      <c r="J44" s="4"/>
      <c r="K44" s="4"/>
      <c r="L44" s="4"/>
      <c r="M44" s="4"/>
      <c r="AO44" s="104"/>
      <c r="AR44" t="s">
        <v>248</v>
      </c>
      <c r="BC44" s="27" t="s">
        <v>63</v>
      </c>
      <c r="BE44" s="28" t="s">
        <v>114</v>
      </c>
      <c r="BG44" s="219" t="s">
        <v>282</v>
      </c>
      <c r="BH44" s="2"/>
      <c r="BI44" s="219" t="s">
        <v>334</v>
      </c>
    </row>
    <row r="45" spans="1:61" ht="16.5" thickBot="1" x14ac:dyDescent="0.3">
      <c r="A45" s="191" t="s">
        <v>396</v>
      </c>
      <c r="B45" s="52"/>
      <c r="C45" s="53"/>
      <c r="D45" s="53"/>
      <c r="E45" s="54"/>
      <c r="F45" s="54"/>
      <c r="G45" s="54"/>
      <c r="H45" s="53"/>
      <c r="I45" s="4"/>
      <c r="J45" s="4"/>
      <c r="K45" s="4"/>
      <c r="L45" s="4"/>
      <c r="M45" s="4"/>
      <c r="AR45" t="s">
        <v>247</v>
      </c>
      <c r="BC45" s="27" t="s">
        <v>176</v>
      </c>
      <c r="BE45" s="28" t="s">
        <v>115</v>
      </c>
      <c r="BG45" s="219" t="s">
        <v>283</v>
      </c>
      <c r="BH45" s="2"/>
      <c r="BI45" s="219" t="s">
        <v>335</v>
      </c>
    </row>
    <row r="46" spans="1:61" ht="15" customHeight="1" x14ac:dyDescent="0.25">
      <c r="A46" s="287"/>
      <c r="B46" s="288"/>
      <c r="C46" s="435" t="str">
        <f>CONCATENATE("ARC* - ",$B$17,)</f>
        <v>ARC* - McIntosh ND</v>
      </c>
      <c r="D46" s="436"/>
      <c r="E46" s="436"/>
      <c r="F46" s="436"/>
      <c r="G46" s="437"/>
      <c r="H46" s="437"/>
      <c r="I46" s="444" t="s">
        <v>206</v>
      </c>
      <c r="J46" s="445"/>
      <c r="K46" s="445"/>
      <c r="L46" s="441"/>
      <c r="BC46" s="27" t="s">
        <v>64</v>
      </c>
      <c r="BE46" s="28" t="s">
        <v>116</v>
      </c>
      <c r="BG46" s="219" t="s">
        <v>284</v>
      </c>
      <c r="BH46" s="2"/>
      <c r="BI46" s="219" t="s">
        <v>336</v>
      </c>
    </row>
    <row r="47" spans="1:61" ht="15" customHeight="1" x14ac:dyDescent="0.25">
      <c r="A47" s="267"/>
      <c r="B47" s="289"/>
      <c r="C47" s="446" t="s">
        <v>29</v>
      </c>
      <c r="D47" s="447"/>
      <c r="E47" s="447"/>
      <c r="F47" s="448"/>
      <c r="G47" s="296" t="s">
        <v>197</v>
      </c>
      <c r="H47" s="297"/>
      <c r="I47" s="246" t="s">
        <v>384</v>
      </c>
      <c r="J47" s="247" t="s">
        <v>397</v>
      </c>
      <c r="K47" s="248" t="s">
        <v>185</v>
      </c>
      <c r="L47" s="256" t="s">
        <v>185</v>
      </c>
      <c r="AI47" s="400"/>
      <c r="AJ47" s="2"/>
      <c r="AK47" s="2"/>
      <c r="AL47" s="2"/>
      <c r="AM47" s="2"/>
      <c r="AN47" s="2"/>
      <c r="AO47" s="2"/>
      <c r="AP47" s="2"/>
      <c r="AQ47" s="2"/>
      <c r="AR47" s="2"/>
      <c r="BC47" s="27" t="s">
        <v>65</v>
      </c>
      <c r="BE47" s="28" t="s">
        <v>172</v>
      </c>
      <c r="BG47" s="219" t="s">
        <v>285</v>
      </c>
      <c r="BH47" s="2"/>
      <c r="BI47" s="219" t="s">
        <v>337</v>
      </c>
    </row>
    <row r="48" spans="1:61" x14ac:dyDescent="0.25">
      <c r="A48" s="267"/>
      <c r="B48" s="289"/>
      <c r="C48" s="298"/>
      <c r="D48" s="299"/>
      <c r="E48" s="250" t="s">
        <v>397</v>
      </c>
      <c r="F48" s="279" t="s">
        <v>184</v>
      </c>
      <c r="G48" s="300" t="s">
        <v>203</v>
      </c>
      <c r="H48" s="297" t="s">
        <v>25</v>
      </c>
      <c r="I48" s="249" t="s">
        <v>198</v>
      </c>
      <c r="J48" s="250" t="s">
        <v>191</v>
      </c>
      <c r="K48" s="248" t="s">
        <v>199</v>
      </c>
      <c r="L48" s="257" t="s">
        <v>380</v>
      </c>
      <c r="AI48" s="400"/>
      <c r="AJ48" s="69"/>
      <c r="AK48" s="6" t="s">
        <v>200</v>
      </c>
      <c r="AN48" s="69"/>
      <c r="AO48" s="6" t="str">
        <f>B17</f>
        <v>McIntosh ND</v>
      </c>
      <c r="AP48" s="182"/>
      <c r="BC48" s="27" t="s">
        <v>66</v>
      </c>
      <c r="BE48" s="28" t="s">
        <v>117</v>
      </c>
      <c r="BG48" s="219" t="s">
        <v>286</v>
      </c>
      <c r="BH48" s="2"/>
      <c r="BI48" s="219" t="s">
        <v>338</v>
      </c>
    </row>
    <row r="49" spans="1:61" x14ac:dyDescent="0.25">
      <c r="A49" s="269" t="s">
        <v>18</v>
      </c>
      <c r="B49" s="290" t="s">
        <v>22</v>
      </c>
      <c r="C49" s="301" t="s">
        <v>224</v>
      </c>
      <c r="D49" s="302" t="s">
        <v>196</v>
      </c>
      <c r="E49" s="252" t="s">
        <v>26</v>
      </c>
      <c r="F49" s="303" t="str">
        <f>IF(AF60=TRUE,"Actual)*"," Actual)")</f>
        <v xml:space="preserve"> Actual)</v>
      </c>
      <c r="G49" s="304" t="s">
        <v>185</v>
      </c>
      <c r="H49" s="305" t="s">
        <v>192</v>
      </c>
      <c r="I49" s="251" t="s">
        <v>183</v>
      </c>
      <c r="J49" s="252" t="s">
        <v>183</v>
      </c>
      <c r="K49" s="253" t="s">
        <v>195</v>
      </c>
      <c r="L49" s="258" t="s">
        <v>195</v>
      </c>
      <c r="AI49" s="400"/>
      <c r="AJ49" s="58" t="s">
        <v>18</v>
      </c>
      <c r="AK49" s="58" t="s">
        <v>192</v>
      </c>
      <c r="AN49" s="58" t="s">
        <v>18</v>
      </c>
      <c r="AO49" s="58" t="s">
        <v>234</v>
      </c>
      <c r="AP49" s="156"/>
      <c r="BC49" s="27" t="s">
        <v>67</v>
      </c>
      <c r="BE49" s="28" t="s">
        <v>118</v>
      </c>
      <c r="BG49" s="219" t="s">
        <v>287</v>
      </c>
      <c r="BH49" s="2"/>
      <c r="BI49" s="219" t="s">
        <v>339</v>
      </c>
    </row>
    <row r="50" spans="1:61" x14ac:dyDescent="0.25">
      <c r="A50" s="269" t="s">
        <v>1</v>
      </c>
      <c r="B50" s="291" t="s">
        <v>23</v>
      </c>
      <c r="C50" s="241">
        <f t="shared" ref="C50:C66" si="33">H76*I76*AR24</f>
        <v>356.46860000000004</v>
      </c>
      <c r="D50" s="62">
        <f>ROUND(C50*0.9,2)</f>
        <v>320.82</v>
      </c>
      <c r="E50" s="59">
        <f t="shared" ref="E50:E62" si="34">F24*E24*AR24</f>
        <v>302.5</v>
      </c>
      <c r="F50" s="152">
        <f>D50-E50</f>
        <v>18.319999999999993</v>
      </c>
      <c r="G50" s="77">
        <f>C50*0.12</f>
        <v>42.776232</v>
      </c>
      <c r="H50" s="254">
        <f>IF(F50&lt;0,0,MIN(F50,G50))</f>
        <v>18.319999999999993</v>
      </c>
      <c r="I50" s="158">
        <f>6.35*AS24</f>
        <v>6.35</v>
      </c>
      <c r="J50" s="61">
        <f t="shared" ref="J50:J63" si="35">F24*AT24</f>
        <v>5.5</v>
      </c>
      <c r="K50" s="244">
        <f t="shared" ref="K50:K62" si="36">(I50-MAX(J50,AK50))*AS24</f>
        <v>0.84999999999999964</v>
      </c>
      <c r="L50" s="243">
        <f t="shared" ref="L50:L62" si="37">MAX(K50,0)*D24</f>
        <v>42.499999999999986</v>
      </c>
      <c r="AI50" s="400"/>
      <c r="AJ50" s="18" t="s">
        <v>1</v>
      </c>
      <c r="AK50" s="70">
        <v>3.72</v>
      </c>
      <c r="AN50" s="166" t="s">
        <v>1</v>
      </c>
      <c r="AO50" s="183">
        <f>VLOOKUP(Prog!$B$17,BMYld,2,FALSE)</f>
        <v>51.07</v>
      </c>
      <c r="BC50" s="27" t="s">
        <v>68</v>
      </c>
      <c r="BE50" s="28" t="s">
        <v>119</v>
      </c>
      <c r="BG50" s="219" t="s">
        <v>288</v>
      </c>
      <c r="BH50" s="2"/>
      <c r="BI50" s="219" t="s">
        <v>340</v>
      </c>
    </row>
    <row r="51" spans="1:61" x14ac:dyDescent="0.25">
      <c r="A51" s="292" t="s">
        <v>2</v>
      </c>
      <c r="B51" s="293" t="s">
        <v>23</v>
      </c>
      <c r="C51" s="241">
        <f t="shared" si="33"/>
        <v>388.70980000000003</v>
      </c>
      <c r="D51" s="62">
        <f t="shared" ref="D51:D66" si="38">ROUND(C51*0.9,2)</f>
        <v>349.84</v>
      </c>
      <c r="E51" s="59">
        <f t="shared" si="34"/>
        <v>285</v>
      </c>
      <c r="F51" s="152">
        <f t="shared" ref="F51:F66" si="39">D51-E51</f>
        <v>64.839999999999975</v>
      </c>
      <c r="G51" s="77">
        <f t="shared" ref="G51:G66" si="40">C51*0.12</f>
        <v>46.645175999999999</v>
      </c>
      <c r="H51" s="254">
        <f t="shared" ref="H51:H66" si="41">IF(F51&lt;0,0,MIN(F51,G51))</f>
        <v>46.645175999999999</v>
      </c>
      <c r="I51" s="158">
        <f>10.71*AS25</f>
        <v>10.71</v>
      </c>
      <c r="J51" s="61">
        <f t="shared" si="35"/>
        <v>9.5</v>
      </c>
      <c r="K51" s="244">
        <f t="shared" si="36"/>
        <v>1.2100000000000009</v>
      </c>
      <c r="L51" s="259">
        <f t="shared" si="37"/>
        <v>30.250000000000021</v>
      </c>
      <c r="AI51" s="400"/>
      <c r="AJ51" s="18" t="s">
        <v>2</v>
      </c>
      <c r="AK51" s="70">
        <v>6.82</v>
      </c>
      <c r="AN51" s="166" t="s">
        <v>2</v>
      </c>
      <c r="AO51" s="184">
        <f>VLOOKUP(Prog!$B$17,BMYld,3,FALSE)</f>
        <v>31.94</v>
      </c>
      <c r="BC51" s="27" t="s">
        <v>69</v>
      </c>
      <c r="BE51" s="28" t="s">
        <v>120</v>
      </c>
      <c r="BG51" s="219" t="s">
        <v>289</v>
      </c>
      <c r="BH51" s="2"/>
      <c r="BI51" s="219" t="s">
        <v>341</v>
      </c>
    </row>
    <row r="52" spans="1:61" x14ac:dyDescent="0.25">
      <c r="A52" s="292" t="s">
        <v>3</v>
      </c>
      <c r="B52" s="293" t="s">
        <v>23</v>
      </c>
      <c r="C52" s="241">
        <f t="shared" si="33"/>
        <v>681.31349999999998</v>
      </c>
      <c r="D52" s="62">
        <f t="shared" si="38"/>
        <v>613.17999999999995</v>
      </c>
      <c r="E52" s="59">
        <f t="shared" si="34"/>
        <v>525</v>
      </c>
      <c r="F52" s="152">
        <f t="shared" si="39"/>
        <v>88.17999999999995</v>
      </c>
      <c r="G52" s="77">
        <f t="shared" si="40"/>
        <v>81.757619999999989</v>
      </c>
      <c r="H52" s="254">
        <f t="shared" si="41"/>
        <v>81.757619999999989</v>
      </c>
      <c r="I52" s="158">
        <f>4.42*AS26</f>
        <v>4.42</v>
      </c>
      <c r="J52" s="61">
        <f t="shared" si="35"/>
        <v>3.75</v>
      </c>
      <c r="K52" s="244">
        <f t="shared" si="36"/>
        <v>0.66999999999999993</v>
      </c>
      <c r="L52" s="259">
        <f t="shared" si="37"/>
        <v>80.399999999999991</v>
      </c>
      <c r="AI52" s="400"/>
      <c r="AJ52" s="18" t="s">
        <v>3</v>
      </c>
      <c r="AK52" s="70">
        <v>2.42</v>
      </c>
      <c r="AN52" s="166" t="s">
        <v>3</v>
      </c>
      <c r="AO52" s="184">
        <f>VLOOKUP(Prog!$B$17,BMYld,4,FALSE)</f>
        <v>135.44999999999999</v>
      </c>
      <c r="BC52" s="27" t="s">
        <v>70</v>
      </c>
      <c r="BE52" s="28" t="s">
        <v>121</v>
      </c>
      <c r="BG52" s="219" t="s">
        <v>290</v>
      </c>
      <c r="BH52" s="2"/>
      <c r="BI52" s="219" t="s">
        <v>342</v>
      </c>
    </row>
    <row r="53" spans="1:61" x14ac:dyDescent="0.25">
      <c r="A53" s="292" t="s">
        <v>20</v>
      </c>
      <c r="B53" s="293" t="s">
        <v>23</v>
      </c>
      <c r="C53" s="241">
        <f t="shared" si="33"/>
        <v>458.97339999999997</v>
      </c>
      <c r="D53" s="62">
        <f t="shared" si="38"/>
        <v>413.08</v>
      </c>
      <c r="E53" s="59">
        <f t="shared" si="34"/>
        <v>337.5</v>
      </c>
      <c r="F53" s="152">
        <f t="shared" si="39"/>
        <v>75.579999999999984</v>
      </c>
      <c r="G53" s="77">
        <f t="shared" si="40"/>
        <v>55.076807999999993</v>
      </c>
      <c r="H53" s="254">
        <f t="shared" si="41"/>
        <v>55.076807999999993</v>
      </c>
      <c r="I53" s="158">
        <f>5.45*AS27</f>
        <v>5.45</v>
      </c>
      <c r="J53" s="61">
        <f t="shared" si="35"/>
        <v>4.5</v>
      </c>
      <c r="K53" s="244">
        <f t="shared" si="36"/>
        <v>0.95000000000000018</v>
      </c>
      <c r="L53" s="259">
        <f t="shared" si="37"/>
        <v>57.000000000000014</v>
      </c>
      <c r="AI53" s="400"/>
      <c r="AJ53" s="18" t="s">
        <v>20</v>
      </c>
      <c r="AK53" s="70">
        <v>2.75</v>
      </c>
      <c r="AN53" s="166" t="s">
        <v>20</v>
      </c>
      <c r="AO53" s="184">
        <f>VLOOKUP(Prog!$B$17,BMYld,5,FALSE)</f>
        <v>71.38</v>
      </c>
      <c r="BC53" s="27" t="s">
        <v>71</v>
      </c>
      <c r="BE53" s="28" t="s">
        <v>122</v>
      </c>
      <c r="BG53" s="219" t="s">
        <v>291</v>
      </c>
      <c r="BH53" s="2"/>
      <c r="BI53" s="219" t="s">
        <v>343</v>
      </c>
    </row>
    <row r="54" spans="1:61" x14ac:dyDescent="0.25">
      <c r="A54" s="292" t="s">
        <v>5</v>
      </c>
      <c r="B54" s="293" t="s">
        <v>23</v>
      </c>
      <c r="C54" s="241">
        <f t="shared" si="33"/>
        <v>0</v>
      </c>
      <c r="D54" s="62">
        <f t="shared" si="38"/>
        <v>0</v>
      </c>
      <c r="E54" s="59">
        <f t="shared" si="34"/>
        <v>0</v>
      </c>
      <c r="F54" s="152">
        <f t="shared" si="39"/>
        <v>0</v>
      </c>
      <c r="G54" s="77">
        <f t="shared" si="40"/>
        <v>0</v>
      </c>
      <c r="H54" s="254">
        <f t="shared" si="41"/>
        <v>0</v>
      </c>
      <c r="I54" s="158">
        <f>3.05*AS28</f>
        <v>0</v>
      </c>
      <c r="J54" s="61">
        <f t="shared" si="35"/>
        <v>0</v>
      </c>
      <c r="K54" s="244">
        <f t="shared" si="36"/>
        <v>0</v>
      </c>
      <c r="L54" s="259">
        <f t="shared" si="37"/>
        <v>0</v>
      </c>
      <c r="AI54" s="400"/>
      <c r="AJ54" s="18" t="s">
        <v>5</v>
      </c>
      <c r="AK54" s="70">
        <v>2.2000000000000002</v>
      </c>
      <c r="AN54" s="166" t="s">
        <v>5</v>
      </c>
      <c r="AO54" s="184">
        <f>VLOOKUP(Prog!$B$17,BMYld,6,FALSE)</f>
        <v>75.680000000000007</v>
      </c>
      <c r="BC54" s="27" t="s">
        <v>72</v>
      </c>
      <c r="BE54" s="28" t="s">
        <v>123</v>
      </c>
      <c r="BG54" s="219" t="s">
        <v>292</v>
      </c>
      <c r="BH54" s="2"/>
      <c r="BI54" s="219" t="s">
        <v>344</v>
      </c>
    </row>
    <row r="55" spans="1:61" x14ac:dyDescent="0.25">
      <c r="A55" s="292" t="s">
        <v>6</v>
      </c>
      <c r="B55" s="293" t="s">
        <v>23</v>
      </c>
      <c r="C55" s="241">
        <f t="shared" si="33"/>
        <v>0</v>
      </c>
      <c r="D55" s="62">
        <f t="shared" si="38"/>
        <v>0</v>
      </c>
      <c r="E55" s="59">
        <f t="shared" si="34"/>
        <v>0</v>
      </c>
      <c r="F55" s="152">
        <f t="shared" si="39"/>
        <v>0</v>
      </c>
      <c r="G55" s="77">
        <f t="shared" si="40"/>
        <v>0</v>
      </c>
      <c r="H55" s="254">
        <f t="shared" si="41"/>
        <v>0</v>
      </c>
      <c r="I55" s="159">
        <f>13.3*AS29</f>
        <v>0</v>
      </c>
      <c r="J55" s="61">
        <f t="shared" si="35"/>
        <v>0</v>
      </c>
      <c r="K55" s="244">
        <f t="shared" si="36"/>
        <v>0</v>
      </c>
      <c r="L55" s="259">
        <f t="shared" si="37"/>
        <v>0</v>
      </c>
      <c r="AI55" s="400"/>
      <c r="AJ55" s="18" t="s">
        <v>6</v>
      </c>
      <c r="AK55" s="401">
        <v>6.2160000000000002</v>
      </c>
      <c r="AN55" s="166" t="s">
        <v>6</v>
      </c>
      <c r="AO55" s="184">
        <f>VLOOKUP(Prog!$B$17,BMYld,7,FALSE)</f>
        <v>14.99</v>
      </c>
      <c r="BC55" s="27" t="s">
        <v>73</v>
      </c>
      <c r="BE55" s="28" t="s">
        <v>124</v>
      </c>
      <c r="BG55" s="219" t="s">
        <v>293</v>
      </c>
      <c r="BH55" s="2"/>
      <c r="BI55" s="219" t="s">
        <v>345</v>
      </c>
    </row>
    <row r="56" spans="1:61" x14ac:dyDescent="0.25">
      <c r="A56" s="292" t="s">
        <v>187</v>
      </c>
      <c r="B56" s="293" t="s">
        <v>23</v>
      </c>
      <c r="C56" s="241">
        <f t="shared" si="33"/>
        <v>0</v>
      </c>
      <c r="D56" s="62">
        <f t="shared" si="38"/>
        <v>0</v>
      </c>
      <c r="E56" s="59">
        <f t="shared" si="34"/>
        <v>0</v>
      </c>
      <c r="F56" s="152">
        <f t="shared" si="39"/>
        <v>0</v>
      </c>
      <c r="G56" s="77">
        <f t="shared" si="40"/>
        <v>0</v>
      </c>
      <c r="H56" s="254">
        <f t="shared" si="41"/>
        <v>0</v>
      </c>
      <c r="I56" s="386">
        <f>4.67*AS30</f>
        <v>0</v>
      </c>
      <c r="J56" s="61">
        <f t="shared" si="35"/>
        <v>0</v>
      </c>
      <c r="K56" s="244">
        <f t="shared" si="36"/>
        <v>0</v>
      </c>
      <c r="L56" s="259">
        <f t="shared" si="37"/>
        <v>0</v>
      </c>
      <c r="AI56" s="400"/>
      <c r="AJ56" s="18" t="s">
        <v>187</v>
      </c>
      <c r="AK56" s="71">
        <v>2.42</v>
      </c>
      <c r="AN56" s="166" t="s">
        <v>187</v>
      </c>
      <c r="AO56" s="184">
        <f>VLOOKUP(Prog!$B$17,BMYld,8,FALSE)</f>
        <v>62</v>
      </c>
      <c r="BC56" s="27" t="s">
        <v>74</v>
      </c>
      <c r="BE56" s="28" t="s">
        <v>125</v>
      </c>
      <c r="BG56" s="219" t="s">
        <v>294</v>
      </c>
      <c r="BH56" s="2"/>
      <c r="BI56" s="219" t="s">
        <v>346</v>
      </c>
    </row>
    <row r="57" spans="1:61" x14ac:dyDescent="0.25">
      <c r="A57" s="292" t="s">
        <v>7</v>
      </c>
      <c r="B57" s="293" t="s">
        <v>28</v>
      </c>
      <c r="C57" s="241">
        <f t="shared" si="33"/>
        <v>0</v>
      </c>
      <c r="D57" s="62">
        <f t="shared" si="38"/>
        <v>0</v>
      </c>
      <c r="E57" s="59">
        <f t="shared" si="34"/>
        <v>0</v>
      </c>
      <c r="F57" s="152">
        <f t="shared" si="39"/>
        <v>0</v>
      </c>
      <c r="G57" s="77">
        <f t="shared" si="40"/>
        <v>0</v>
      </c>
      <c r="H57" s="254">
        <f t="shared" si="41"/>
        <v>0</v>
      </c>
      <c r="I57" s="159">
        <f>0.2375*AS31</f>
        <v>0</v>
      </c>
      <c r="J57" s="317">
        <f t="shared" si="35"/>
        <v>0</v>
      </c>
      <c r="K57" s="319">
        <f t="shared" si="36"/>
        <v>0</v>
      </c>
      <c r="L57" s="259">
        <f t="shared" si="37"/>
        <v>0</v>
      </c>
      <c r="AI57" s="400"/>
      <c r="AJ57" s="18" t="s">
        <v>7</v>
      </c>
      <c r="AK57" s="72">
        <v>0.111</v>
      </c>
      <c r="AN57" s="166" t="s">
        <v>7</v>
      </c>
      <c r="AO57" s="184">
        <f>VLOOKUP(Prog!$B$17,BMYld,9,FALSE)</f>
        <v>1849.71</v>
      </c>
      <c r="BC57" s="27" t="s">
        <v>75</v>
      </c>
      <c r="BE57" s="28" t="s">
        <v>126</v>
      </c>
      <c r="BG57" s="219" t="s">
        <v>295</v>
      </c>
      <c r="BH57" s="2"/>
      <c r="BI57" s="219" t="s">
        <v>347</v>
      </c>
    </row>
    <row r="58" spans="1:61" x14ac:dyDescent="0.25">
      <c r="A58" s="292" t="s">
        <v>21</v>
      </c>
      <c r="B58" s="293" t="s">
        <v>28</v>
      </c>
      <c r="C58" s="241">
        <f t="shared" si="33"/>
        <v>0</v>
      </c>
      <c r="D58" s="62">
        <f t="shared" si="38"/>
        <v>0</v>
      </c>
      <c r="E58" s="59">
        <f t="shared" si="34"/>
        <v>0</v>
      </c>
      <c r="F58" s="152">
        <f t="shared" si="39"/>
        <v>0</v>
      </c>
      <c r="G58" s="77">
        <f t="shared" si="40"/>
        <v>0</v>
      </c>
      <c r="H58" s="254">
        <f t="shared" si="41"/>
        <v>0</v>
      </c>
      <c r="I58" s="159">
        <f>0.2375*AS32</f>
        <v>0</v>
      </c>
      <c r="J58" s="317">
        <f t="shared" si="35"/>
        <v>0</v>
      </c>
      <c r="K58" s="319">
        <f t="shared" si="36"/>
        <v>0</v>
      </c>
      <c r="L58" s="259">
        <f t="shared" si="37"/>
        <v>0</v>
      </c>
      <c r="AI58" s="400"/>
      <c r="AJ58" s="18" t="s">
        <v>21</v>
      </c>
      <c r="AK58" s="72">
        <v>0.111</v>
      </c>
      <c r="AN58" s="166" t="s">
        <v>21</v>
      </c>
      <c r="AO58" s="184">
        <f>VLOOKUP(Prog!$B$17,BMYld,10,FALSE)</f>
        <v>2034.7</v>
      </c>
      <c r="BC58" s="27" t="s">
        <v>76</v>
      </c>
      <c r="BE58" s="28" t="s">
        <v>127</v>
      </c>
      <c r="BG58" s="219" t="s">
        <v>296</v>
      </c>
      <c r="BH58" s="2"/>
      <c r="BI58" s="219" t="s">
        <v>348</v>
      </c>
    </row>
    <row r="59" spans="1:61" x14ac:dyDescent="0.25">
      <c r="A59" s="292" t="s">
        <v>10</v>
      </c>
      <c r="B59" s="293" t="s">
        <v>28</v>
      </c>
      <c r="C59" s="241">
        <f t="shared" si="33"/>
        <v>0</v>
      </c>
      <c r="D59" s="62">
        <f t="shared" si="38"/>
        <v>0</v>
      </c>
      <c r="E59" s="59">
        <f t="shared" si="34"/>
        <v>0</v>
      </c>
      <c r="F59" s="152">
        <f t="shared" si="39"/>
        <v>0</v>
      </c>
      <c r="G59" s="77">
        <f t="shared" si="40"/>
        <v>0</v>
      </c>
      <c r="H59" s="254">
        <f t="shared" si="41"/>
        <v>0</v>
      </c>
      <c r="I59" s="159">
        <f>0.131*AS33</f>
        <v>0</v>
      </c>
      <c r="J59" s="317">
        <f t="shared" si="35"/>
        <v>0</v>
      </c>
      <c r="K59" s="319">
        <f t="shared" si="36"/>
        <v>0</v>
      </c>
      <c r="L59" s="259">
        <f t="shared" si="37"/>
        <v>0</v>
      </c>
      <c r="AI59" s="400"/>
      <c r="AJ59" s="18" t="s">
        <v>10</v>
      </c>
      <c r="AK59" s="72">
        <v>6.8699999999999997E-2</v>
      </c>
      <c r="AN59" s="166" t="s">
        <v>10</v>
      </c>
      <c r="AO59" s="184">
        <f>VLOOKUP(Prog!$B$17,BMYld,11,FALSE)</f>
        <v>1814</v>
      </c>
      <c r="BC59" s="27" t="s">
        <v>77</v>
      </c>
      <c r="BE59" s="28" t="s">
        <v>128</v>
      </c>
      <c r="BG59" s="219" t="s">
        <v>297</v>
      </c>
      <c r="BH59" s="2"/>
      <c r="BI59" s="219" t="s">
        <v>349</v>
      </c>
    </row>
    <row r="60" spans="1:61" x14ac:dyDescent="0.25">
      <c r="A60" s="292" t="s">
        <v>11</v>
      </c>
      <c r="B60" s="293" t="s">
        <v>28</v>
      </c>
      <c r="C60" s="241">
        <f t="shared" si="33"/>
        <v>0</v>
      </c>
      <c r="D60" s="62">
        <f t="shared" si="38"/>
        <v>0</v>
      </c>
      <c r="E60" s="59">
        <f t="shared" si="34"/>
        <v>0</v>
      </c>
      <c r="F60" s="152">
        <f t="shared" si="39"/>
        <v>0</v>
      </c>
      <c r="G60" s="77">
        <f t="shared" si="40"/>
        <v>0</v>
      </c>
      <c r="H60" s="254">
        <f t="shared" si="41"/>
        <v>0</v>
      </c>
      <c r="I60" s="159">
        <f>0.2587*AS34</f>
        <v>0</v>
      </c>
      <c r="J60" s="317">
        <f t="shared" si="35"/>
        <v>0</v>
      </c>
      <c r="K60" s="319">
        <f t="shared" si="36"/>
        <v>0</v>
      </c>
      <c r="L60" s="259">
        <f t="shared" si="37"/>
        <v>0</v>
      </c>
      <c r="AI60" s="400"/>
      <c r="AJ60" s="18" t="s">
        <v>11</v>
      </c>
      <c r="AK60" s="72">
        <v>0.14299999999999999</v>
      </c>
      <c r="AN60" s="166" t="s">
        <v>11</v>
      </c>
      <c r="AO60" s="184">
        <f>VLOOKUP(Prog!$B$17,BMYld,12,FALSE)</f>
        <v>1054.33</v>
      </c>
      <c r="BC60" s="27" t="s">
        <v>78</v>
      </c>
      <c r="BE60" s="28" t="s">
        <v>129</v>
      </c>
      <c r="BG60" s="219" t="s">
        <v>298</v>
      </c>
      <c r="BH60" s="2"/>
      <c r="BI60" s="219" t="s">
        <v>350</v>
      </c>
    </row>
    <row r="61" spans="1:61" x14ac:dyDescent="0.25">
      <c r="A61" s="292" t="s">
        <v>8</v>
      </c>
      <c r="B61" s="293" t="s">
        <v>28</v>
      </c>
      <c r="C61" s="241">
        <f t="shared" si="33"/>
        <v>0</v>
      </c>
      <c r="D61" s="62">
        <f t="shared" si="38"/>
        <v>0</v>
      </c>
      <c r="E61" s="59">
        <f t="shared" si="34"/>
        <v>0</v>
      </c>
      <c r="F61" s="152">
        <f t="shared" si="39"/>
        <v>0</v>
      </c>
      <c r="G61" s="77">
        <f t="shared" si="40"/>
        <v>0</v>
      </c>
      <c r="H61" s="254">
        <f t="shared" si="41"/>
        <v>0</v>
      </c>
      <c r="I61" s="159">
        <f>0.2375*AS35</f>
        <v>0</v>
      </c>
      <c r="J61" s="317">
        <f t="shared" si="35"/>
        <v>0</v>
      </c>
      <c r="K61" s="319">
        <f t="shared" si="36"/>
        <v>0</v>
      </c>
      <c r="L61" s="259">
        <f t="shared" si="37"/>
        <v>0</v>
      </c>
      <c r="AI61" s="400"/>
      <c r="AJ61" s="18" t="s">
        <v>8</v>
      </c>
      <c r="AK61" s="72">
        <v>0.111</v>
      </c>
      <c r="AN61" s="166" t="s">
        <v>8</v>
      </c>
      <c r="AO61" s="184">
        <f>VLOOKUP(Prog!$B$17,BMYld,13,FALSE)</f>
        <v>0</v>
      </c>
      <c r="BC61" s="27" t="s">
        <v>79</v>
      </c>
      <c r="BE61" s="28" t="s">
        <v>130</v>
      </c>
      <c r="BG61" s="219" t="s">
        <v>299</v>
      </c>
      <c r="BH61" s="2"/>
      <c r="BI61" s="219" t="s">
        <v>351</v>
      </c>
    </row>
    <row r="62" spans="1:61" x14ac:dyDescent="0.25">
      <c r="A62" s="292" t="s">
        <v>9</v>
      </c>
      <c r="B62" s="293" t="s">
        <v>28</v>
      </c>
      <c r="C62" s="241">
        <f t="shared" si="33"/>
        <v>0</v>
      </c>
      <c r="D62" s="62">
        <f t="shared" si="38"/>
        <v>0</v>
      </c>
      <c r="E62" s="59">
        <f t="shared" si="34"/>
        <v>0</v>
      </c>
      <c r="F62" s="152">
        <f t="shared" si="39"/>
        <v>0</v>
      </c>
      <c r="G62" s="77">
        <f t="shared" si="40"/>
        <v>0</v>
      </c>
      <c r="H62" s="254">
        <f t="shared" si="41"/>
        <v>0</v>
      </c>
      <c r="I62" s="159">
        <f>0.2731*AS36</f>
        <v>0</v>
      </c>
      <c r="J62" s="317">
        <f t="shared" si="35"/>
        <v>0</v>
      </c>
      <c r="K62" s="319">
        <f t="shared" si="36"/>
        <v>0</v>
      </c>
      <c r="L62" s="259">
        <f t="shared" si="37"/>
        <v>0</v>
      </c>
      <c r="AI62" s="400"/>
      <c r="AJ62" s="18" t="s">
        <v>9</v>
      </c>
      <c r="AK62" s="72">
        <v>0.111</v>
      </c>
      <c r="AN62" s="166" t="s">
        <v>9</v>
      </c>
      <c r="AO62" s="184">
        <f>VLOOKUP(Prog!$B$17,BMYld,14,FALSE)</f>
        <v>639.4</v>
      </c>
      <c r="BC62" s="27" t="s">
        <v>80</v>
      </c>
      <c r="BE62" s="28" t="s">
        <v>131</v>
      </c>
      <c r="BG62" s="219" t="s">
        <v>300</v>
      </c>
      <c r="BH62" s="2"/>
      <c r="BI62" s="219" t="s">
        <v>352</v>
      </c>
    </row>
    <row r="63" spans="1:61" x14ac:dyDescent="0.25">
      <c r="A63" s="292" t="s">
        <v>410</v>
      </c>
      <c r="B63" s="293" t="s">
        <v>28</v>
      </c>
      <c r="C63" s="241">
        <f t="shared" si="33"/>
        <v>0</v>
      </c>
      <c r="D63" s="62">
        <f t="shared" ref="D63:D64" si="42">ROUND(C63*0.9,2)</f>
        <v>0</v>
      </c>
      <c r="E63" s="59">
        <f t="shared" ref="E63:E64" si="43">F37*E37*AR37</f>
        <v>0</v>
      </c>
      <c r="F63" s="152">
        <f t="shared" ref="F63:F64" si="44">D63-E63</f>
        <v>0</v>
      </c>
      <c r="G63" s="77">
        <f t="shared" ref="G63:G64" si="45">C63*0.12</f>
        <v>0</v>
      </c>
      <c r="H63" s="254">
        <f t="shared" ref="H63:H64" si="46">IF(F63&lt;0,0,MIN(F63,G63))</f>
        <v>0</v>
      </c>
      <c r="I63" s="159">
        <f>0.2375*AS37</f>
        <v>0</v>
      </c>
      <c r="J63" s="317">
        <f t="shared" si="35"/>
        <v>0</v>
      </c>
      <c r="K63" s="319">
        <f t="shared" ref="K63:K64" si="47">(I63-MAX(J63,AK63))*AS37</f>
        <v>0</v>
      </c>
      <c r="L63" s="259">
        <f t="shared" ref="L63:L64" si="48">MAX(K63,0)*D37</f>
        <v>0</v>
      </c>
      <c r="AI63" s="400"/>
      <c r="AJ63" s="18" t="s">
        <v>410</v>
      </c>
      <c r="AK63" s="72">
        <v>0.111</v>
      </c>
      <c r="AN63" s="18" t="s">
        <v>410</v>
      </c>
      <c r="AO63" s="184">
        <f>VLOOKUP(Prog!$B$17,BMYld,15,FALSE)</f>
        <v>0</v>
      </c>
      <c r="BC63" s="27" t="s">
        <v>81</v>
      </c>
      <c r="BE63" s="28" t="s">
        <v>132</v>
      </c>
      <c r="BG63" s="219" t="s">
        <v>301</v>
      </c>
      <c r="BH63" s="2"/>
      <c r="BI63" s="219" t="s">
        <v>353</v>
      </c>
    </row>
    <row r="64" spans="1:61" x14ac:dyDescent="0.25">
      <c r="A64" s="292" t="s">
        <v>411</v>
      </c>
      <c r="B64" s="293" t="s">
        <v>28</v>
      </c>
      <c r="C64" s="241">
        <f t="shared" si="33"/>
        <v>0</v>
      </c>
      <c r="D64" s="62">
        <f t="shared" si="42"/>
        <v>0</v>
      </c>
      <c r="E64" s="59">
        <f t="shared" si="43"/>
        <v>0</v>
      </c>
      <c r="F64" s="152">
        <f t="shared" si="44"/>
        <v>0</v>
      </c>
      <c r="G64" s="77">
        <f t="shared" si="45"/>
        <v>0</v>
      </c>
      <c r="H64" s="254">
        <f t="shared" si="46"/>
        <v>0</v>
      </c>
      <c r="I64" s="159">
        <f>0.2375*AS38</f>
        <v>0</v>
      </c>
      <c r="J64" s="317">
        <f t="shared" ref="J64" si="49">F38*AT38</f>
        <v>0</v>
      </c>
      <c r="K64" s="319">
        <f t="shared" si="47"/>
        <v>0</v>
      </c>
      <c r="L64" s="259">
        <f t="shared" si="48"/>
        <v>0</v>
      </c>
      <c r="AI64" s="400"/>
      <c r="AJ64" s="18" t="s">
        <v>411</v>
      </c>
      <c r="AK64" s="72">
        <v>0.111</v>
      </c>
      <c r="AN64" s="18" t="s">
        <v>411</v>
      </c>
      <c r="AO64" s="184">
        <f>VLOOKUP(Prog!$B$17,BMYld,16,FALSE)</f>
        <v>0</v>
      </c>
      <c r="BC64" s="27" t="s">
        <v>82</v>
      </c>
      <c r="BE64" s="28" t="s">
        <v>133</v>
      </c>
      <c r="BG64" s="219" t="s">
        <v>302</v>
      </c>
      <c r="BH64" s="2"/>
      <c r="BI64" s="219" t="s">
        <v>354</v>
      </c>
    </row>
    <row r="65" spans="1:61" x14ac:dyDescent="0.25">
      <c r="A65" s="292" t="s">
        <v>12</v>
      </c>
      <c r="B65" s="293" t="s">
        <v>28</v>
      </c>
      <c r="C65" s="241">
        <f t="shared" si="33"/>
        <v>0</v>
      </c>
      <c r="D65" s="62">
        <f t="shared" si="38"/>
        <v>0</v>
      </c>
      <c r="E65" s="59">
        <f>F39*E39*AR39</f>
        <v>0</v>
      </c>
      <c r="F65" s="152">
        <f t="shared" si="39"/>
        <v>0</v>
      </c>
      <c r="G65" s="77">
        <f t="shared" si="40"/>
        <v>0</v>
      </c>
      <c r="H65" s="254">
        <f t="shared" si="41"/>
        <v>0</v>
      </c>
      <c r="I65" s="159">
        <f>0.2798*AS39</f>
        <v>0</v>
      </c>
      <c r="J65" s="317">
        <f>F39*AT39</f>
        <v>0</v>
      </c>
      <c r="K65" s="319">
        <f>(I65-MAX(J65,AK65))*AS39</f>
        <v>0</v>
      </c>
      <c r="L65" s="259">
        <f>MAX(K65,0)*D39</f>
        <v>0</v>
      </c>
      <c r="AI65" s="400"/>
      <c r="AJ65" s="18" t="s">
        <v>12</v>
      </c>
      <c r="AK65" s="72">
        <v>0.154</v>
      </c>
      <c r="AN65" s="166" t="s">
        <v>12</v>
      </c>
      <c r="AO65" s="184">
        <f>VLOOKUP(Prog!$B$17,BMYld,17,FALSE)</f>
        <v>0</v>
      </c>
      <c r="BC65" s="27" t="s">
        <v>83</v>
      </c>
      <c r="BE65" s="28" t="s">
        <v>134</v>
      </c>
      <c r="BG65" s="219" t="s">
        <v>303</v>
      </c>
      <c r="BH65" s="2"/>
      <c r="BI65" s="219" t="s">
        <v>355</v>
      </c>
    </row>
    <row r="66" spans="1:61" ht="15.75" thickBot="1" x14ac:dyDescent="0.3">
      <c r="A66" s="294" t="s">
        <v>13</v>
      </c>
      <c r="B66" s="295" t="s">
        <v>28</v>
      </c>
      <c r="C66" s="242">
        <f t="shared" si="33"/>
        <v>0</v>
      </c>
      <c r="D66" s="399">
        <f t="shared" si="38"/>
        <v>0</v>
      </c>
      <c r="E66" s="172">
        <f>F40*E40*AR40</f>
        <v>0</v>
      </c>
      <c r="F66" s="173">
        <f t="shared" si="39"/>
        <v>0</v>
      </c>
      <c r="G66" s="84">
        <f t="shared" si="40"/>
        <v>0</v>
      </c>
      <c r="H66" s="255">
        <f t="shared" si="41"/>
        <v>0</v>
      </c>
      <c r="I66" s="160">
        <f>0.2529*AS40</f>
        <v>0</v>
      </c>
      <c r="J66" s="318">
        <f>F40*AT40</f>
        <v>0</v>
      </c>
      <c r="K66" s="320">
        <f>(I66-MAX(J66,AK66))*AS40</f>
        <v>0</v>
      </c>
      <c r="L66" s="260">
        <f>MAX(K66,0)*D40</f>
        <v>0</v>
      </c>
      <c r="AI66" s="400"/>
      <c r="AJ66" s="19" t="s">
        <v>13</v>
      </c>
      <c r="AK66" s="73">
        <v>0.11</v>
      </c>
      <c r="AN66" s="167" t="s">
        <v>13</v>
      </c>
      <c r="AO66" s="185">
        <f>VLOOKUP(Prog!$B$17,BMYld,18,FALSE)</f>
        <v>0</v>
      </c>
      <c r="BC66" s="27" t="s">
        <v>84</v>
      </c>
      <c r="BE66" s="28" t="s">
        <v>135</v>
      </c>
      <c r="BG66" s="219" t="s">
        <v>304</v>
      </c>
      <c r="BH66" s="2"/>
      <c r="BI66" s="219" t="s">
        <v>356</v>
      </c>
    </row>
    <row r="67" spans="1:61" x14ac:dyDescent="0.25">
      <c r="A67" s="56" t="s">
        <v>377</v>
      </c>
      <c r="B67" s="55"/>
      <c r="C67" s="56"/>
      <c r="D67" s="56"/>
      <c r="E67" s="56"/>
      <c r="F67" s="56"/>
      <c r="G67" s="56"/>
      <c r="H67" s="56"/>
      <c r="I67" s="57"/>
      <c r="J67" s="57"/>
      <c r="K67" s="175"/>
      <c r="L67" s="176"/>
      <c r="M67" s="2"/>
      <c r="BC67" s="27" t="s">
        <v>85</v>
      </c>
      <c r="BE67" s="28" t="s">
        <v>136</v>
      </c>
      <c r="BG67" s="2"/>
      <c r="BH67" s="2"/>
      <c r="BI67" s="219" t="s">
        <v>357</v>
      </c>
    </row>
    <row r="68" spans="1:61" ht="12.75" customHeight="1" x14ac:dyDescent="0.25">
      <c r="A68" s="56" t="s">
        <v>398</v>
      </c>
      <c r="B68" s="55"/>
      <c r="C68" s="56"/>
      <c r="D68" s="56"/>
      <c r="E68" s="56"/>
      <c r="F68" s="56"/>
      <c r="G68" s="56"/>
      <c r="H68" s="56"/>
      <c r="I68" s="57"/>
      <c r="J68" s="57"/>
      <c r="K68" s="57"/>
      <c r="L68" s="4"/>
      <c r="BE68" s="28" t="s">
        <v>137</v>
      </c>
      <c r="BG68" s="2"/>
      <c r="BH68" s="2"/>
      <c r="BI68" s="219" t="s">
        <v>358</v>
      </c>
    </row>
    <row r="69" spans="1:61" ht="12.75" customHeight="1" x14ac:dyDescent="0.25">
      <c r="A69" s="56" t="s">
        <v>399</v>
      </c>
      <c r="B69" s="55"/>
      <c r="C69" s="56"/>
      <c r="D69" s="56"/>
      <c r="E69" s="56"/>
      <c r="F69" s="56"/>
      <c r="G69" s="56"/>
      <c r="H69" s="56"/>
      <c r="I69" s="57"/>
      <c r="J69" s="57"/>
      <c r="K69" s="57"/>
      <c r="L69" s="4"/>
      <c r="BE69" s="28" t="s">
        <v>138</v>
      </c>
      <c r="BG69" s="2"/>
      <c r="BH69" s="2"/>
      <c r="BI69" s="219" t="s">
        <v>359</v>
      </c>
    </row>
    <row r="70" spans="1:61" ht="12.75" customHeight="1" x14ac:dyDescent="0.25">
      <c r="A70" s="87" t="s">
        <v>385</v>
      </c>
      <c r="B70" s="26"/>
      <c r="C70" s="56"/>
      <c r="D70" s="56"/>
      <c r="E70" s="56"/>
      <c r="F70" s="56"/>
      <c r="G70" s="56"/>
      <c r="H70" s="56"/>
      <c r="I70" s="57"/>
      <c r="J70" s="57"/>
      <c r="K70" s="57"/>
      <c r="L70" s="4"/>
      <c r="BE70" s="28" t="s">
        <v>139</v>
      </c>
      <c r="BG70" s="2"/>
      <c r="BH70" s="2"/>
      <c r="BI70" s="219" t="s">
        <v>360</v>
      </c>
    </row>
    <row r="71" spans="1:61" ht="12.75" customHeight="1" x14ac:dyDescent="0.25">
      <c r="A71" s="51" t="str">
        <f>IF(AU41&gt;0,CONCATENATE("No ARC calc. for this crop base because either no 2026 co. avg yield or 2026 MYA price, or no FSA benchmark yield available: ",AV24," ",AV25," ",AV26," ",AV27,"",AV28," ",AV29," ",AV30," ",AV31," ",AV32," ",AV33," ",AV34," ",AV35," ",AV36," ",AV37," ",AV38," ",AV39," ",AV40),"")</f>
        <v/>
      </c>
      <c r="H71" s="21"/>
      <c r="I71" s="21"/>
      <c r="J71" s="21"/>
      <c r="K71" s="21"/>
      <c r="L71" s="21"/>
      <c r="AI71" s="20"/>
      <c r="BE71" s="28" t="s">
        <v>140</v>
      </c>
      <c r="BG71" s="2"/>
      <c r="BH71" s="2"/>
      <c r="BI71" s="219" t="s">
        <v>361</v>
      </c>
    </row>
    <row r="72" spans="1:61" ht="13.5" customHeight="1" x14ac:dyDescent="0.25">
      <c r="A72" s="51" t="str">
        <f>IF(AX41&gt;0,CONCATENATE("No PLC calc. for this crop base because either no 2026 MYA price, or no PLC payment yield: ",AY24," ",AY25," ",AY26," ",AY27,"",AY28," ",AY29," ",AY30," ",AY31," ",AY32," ",AY33," ",AY34," ",AY35," ",AY36," ",AY37," ",AY38," ",AY39," ",AY40),"")</f>
        <v/>
      </c>
      <c r="B72" s="85"/>
      <c r="C72" s="86"/>
      <c r="D72" s="86"/>
      <c r="E72" s="86"/>
      <c r="F72" s="86"/>
      <c r="AI72" s="11"/>
      <c r="BE72" s="28" t="s">
        <v>141</v>
      </c>
      <c r="BG72" s="2"/>
      <c r="BH72" s="2"/>
      <c r="BI72" s="219" t="s">
        <v>362</v>
      </c>
    </row>
    <row r="73" spans="1:61" ht="16.5" customHeight="1" thickBot="1" x14ac:dyDescent="0.3">
      <c r="A73" s="240" t="str">
        <f>CONCATENATE("Table 3. ARC-CO 2026 ",$B$17," Benchmark Yield and the National Benchmark Price")</f>
        <v>Table 3. ARC-CO 2026 McIntosh ND Benchmark Yield and the National Benchmark Price</v>
      </c>
      <c r="B73" s="239"/>
      <c r="C73" s="239"/>
      <c r="D73" s="239"/>
      <c r="E73" s="239"/>
      <c r="F73" s="239"/>
      <c r="G73" s="239"/>
      <c r="H73" s="239"/>
      <c r="I73" s="239"/>
      <c r="J73" s="177"/>
      <c r="K73" s="177"/>
      <c r="L73" s="177"/>
      <c r="M73" s="177"/>
      <c r="BE73" s="28" t="s">
        <v>142</v>
      </c>
      <c r="BG73" s="2"/>
      <c r="BH73" s="2"/>
      <c r="BI73" s="219" t="s">
        <v>363</v>
      </c>
    </row>
    <row r="74" spans="1:61" ht="15" customHeight="1" x14ac:dyDescent="0.25">
      <c r="A74" s="142"/>
      <c r="B74" s="266"/>
      <c r="C74" s="433" t="str">
        <f>CONCATENATE($B$17," Higher of Trend Adj. &amp; 80% Co. T Yield")</f>
        <v>McIntosh ND Higher of Trend Adj. &amp; 80% Co. T Yield</v>
      </c>
      <c r="D74" s="434"/>
      <c r="E74" s="434"/>
      <c r="F74" s="434"/>
      <c r="G74" s="434"/>
      <c r="H74" s="309" t="s">
        <v>378</v>
      </c>
      <c r="I74" s="309" t="s">
        <v>378</v>
      </c>
      <c r="J74" s="177"/>
      <c r="K74" s="177"/>
      <c r="L74" s="177"/>
      <c r="M74" s="177"/>
      <c r="BE74" s="28" t="s">
        <v>143</v>
      </c>
      <c r="BG74" s="2"/>
      <c r="BH74" s="2"/>
      <c r="BI74" s="219" t="s">
        <v>364</v>
      </c>
    </row>
    <row r="75" spans="1:61" ht="12.75" customHeight="1" x14ac:dyDescent="0.25">
      <c r="A75" s="306" t="s">
        <v>18</v>
      </c>
      <c r="B75" s="268" t="s">
        <v>22</v>
      </c>
      <c r="C75" s="310">
        <v>2020</v>
      </c>
      <c r="D75" s="245">
        <v>2021</v>
      </c>
      <c r="E75" s="245">
        <v>2022</v>
      </c>
      <c r="F75" s="245">
        <v>2023</v>
      </c>
      <c r="G75" s="245">
        <v>2024</v>
      </c>
      <c r="H75" s="311" t="s">
        <v>379</v>
      </c>
      <c r="I75" s="311" t="s">
        <v>382</v>
      </c>
      <c r="J75" s="323"/>
      <c r="BE75" s="28" t="s">
        <v>144</v>
      </c>
      <c r="BG75" s="2"/>
      <c r="BH75" s="2"/>
      <c r="BI75" s="219" t="s">
        <v>365</v>
      </c>
    </row>
    <row r="76" spans="1:61" x14ac:dyDescent="0.25">
      <c r="A76" s="321" t="s">
        <v>1</v>
      </c>
      <c r="B76" s="307" t="s">
        <v>23</v>
      </c>
      <c r="C76" s="325">
        <f>VLOOKUP(Prog!$B$17,CoYld,2,FALSE)</f>
        <v>43.36</v>
      </c>
      <c r="D76" s="326">
        <f>VLOOKUP(Prog!$B$17,CoYld,3,FALSE)</f>
        <v>38.35</v>
      </c>
      <c r="E76" s="326">
        <f>VLOOKUP(Prog!$B$17,CoYld,4,FALSE)</f>
        <v>52.74</v>
      </c>
      <c r="F76" s="326">
        <f>VLOOKUP(Prog!$B$17,CoYld,5,FALSE)</f>
        <v>57.11</v>
      </c>
      <c r="G76" s="327">
        <f>VLOOKUP(Prog!$B$17,CoYld,6,FALSE)</f>
        <v>62.5</v>
      </c>
      <c r="H76" s="312">
        <f t="shared" ref="H76:H88" si="50">AO50</f>
        <v>51.07</v>
      </c>
      <c r="I76" s="380">
        <v>6.98</v>
      </c>
      <c r="K76" s="13"/>
      <c r="L76" s="13"/>
      <c r="M76" s="13"/>
      <c r="N76" s="13"/>
      <c r="BE76" s="28" t="s">
        <v>145</v>
      </c>
      <c r="BG76" s="2"/>
      <c r="BH76" s="2"/>
      <c r="BI76" s="219" t="s">
        <v>366</v>
      </c>
    </row>
    <row r="77" spans="1:61" x14ac:dyDescent="0.25">
      <c r="A77" s="321" t="s">
        <v>2</v>
      </c>
      <c r="B77" s="307" t="s">
        <v>23</v>
      </c>
      <c r="C77" s="328">
        <f>VLOOKUP(Prog!$B$17,CoYld,7,FALSE)</f>
        <v>31.810000000000002</v>
      </c>
      <c r="D77" s="329">
        <f>VLOOKUP(Prog!$B$17,CoYld,8,FALSE)</f>
        <v>26</v>
      </c>
      <c r="E77" s="329">
        <f>VLOOKUP(Prog!$B$17,CoYld,9,FALSE)</f>
        <v>30.360000000000003</v>
      </c>
      <c r="F77" s="329">
        <f>VLOOKUP(Prog!$B$17,CoYld,10,FALSE)</f>
        <v>42.160000000000004</v>
      </c>
      <c r="G77" s="330">
        <f>VLOOKUP(Prog!$B$17,CoYld,11,FALSE)</f>
        <v>33.64</v>
      </c>
      <c r="H77" s="312">
        <f t="shared" si="50"/>
        <v>31.94</v>
      </c>
      <c r="I77" s="313">
        <v>12.17</v>
      </c>
      <c r="K77" s="13"/>
      <c r="L77" s="13"/>
      <c r="M77" s="13"/>
      <c r="N77" s="13"/>
      <c r="BE77" s="28" t="s">
        <v>146</v>
      </c>
      <c r="BG77" s="2"/>
      <c r="BH77" s="2"/>
      <c r="BI77" s="219" t="s">
        <v>367</v>
      </c>
    </row>
    <row r="78" spans="1:61" x14ac:dyDescent="0.25">
      <c r="A78" s="321" t="s">
        <v>3</v>
      </c>
      <c r="B78" s="307" t="s">
        <v>23</v>
      </c>
      <c r="C78" s="328">
        <f>VLOOKUP(Prog!$B$17,CoYld,12,FALSE)</f>
        <v>133.72</v>
      </c>
      <c r="D78" s="329">
        <f>VLOOKUP(Prog!$B$17,CoYld,13,FALSE)</f>
        <v>97.7</v>
      </c>
      <c r="E78" s="329">
        <f>VLOOKUP(Prog!$B$17,CoYld,14,FALSE)</f>
        <v>121.88</v>
      </c>
      <c r="F78" s="329">
        <f>VLOOKUP(Prog!$B$17,CoYld,15,FALSE)</f>
        <v>160.91999999999999</v>
      </c>
      <c r="G78" s="330">
        <f>VLOOKUP(Prog!$B$17,CoYld,16,FALSE)</f>
        <v>150.76000000000002</v>
      </c>
      <c r="H78" s="312">
        <f t="shared" si="50"/>
        <v>135.44999999999999</v>
      </c>
      <c r="I78" s="313">
        <v>5.03</v>
      </c>
      <c r="J78" s="381"/>
      <c r="K78" s="13"/>
      <c r="L78" s="13"/>
      <c r="M78" s="13"/>
      <c r="N78" s="13"/>
      <c r="BE78" s="28" t="s">
        <v>147</v>
      </c>
      <c r="BG78" s="2"/>
      <c r="BH78" s="2"/>
      <c r="BI78" s="219" t="s">
        <v>368</v>
      </c>
    </row>
    <row r="79" spans="1:61" x14ac:dyDescent="0.25">
      <c r="A79" s="321" t="s">
        <v>20</v>
      </c>
      <c r="B79" s="307" t="s">
        <v>23</v>
      </c>
      <c r="C79" s="328">
        <f>VLOOKUP(Prog!$B$17,CoYld,17,FALSE)</f>
        <v>68.14</v>
      </c>
      <c r="D79" s="329">
        <f>VLOOKUP(Prog!$B$17,CoYld,18,FALSE)</f>
        <v>52.449999999999996</v>
      </c>
      <c r="E79" s="329">
        <f>VLOOKUP(Prog!$B$17,CoYld,19,FALSE)</f>
        <v>69.38</v>
      </c>
      <c r="F79" s="329">
        <f>VLOOKUP(Prog!$B$17,CoYld,20,FALSE)</f>
        <v>76.61</v>
      </c>
      <c r="G79" s="330">
        <f>VLOOKUP(Prog!$B$17,CoYld,21,FALSE)</f>
        <v>85.97</v>
      </c>
      <c r="H79" s="312">
        <f t="shared" si="50"/>
        <v>71.38</v>
      </c>
      <c r="I79" s="313">
        <v>6.43</v>
      </c>
      <c r="K79" s="13"/>
      <c r="L79" s="13"/>
      <c r="M79" s="13"/>
      <c r="N79" s="13"/>
      <c r="BE79" s="28" t="s">
        <v>148</v>
      </c>
      <c r="BG79" s="2"/>
      <c r="BH79" s="2"/>
      <c r="BI79" s="219" t="s">
        <v>369</v>
      </c>
    </row>
    <row r="80" spans="1:61" x14ac:dyDescent="0.25">
      <c r="A80" s="321" t="s">
        <v>5</v>
      </c>
      <c r="B80" s="307" t="s">
        <v>23</v>
      </c>
      <c r="C80" s="328">
        <f>VLOOKUP(Prog!$B$17,CoYld,22,FALSE)</f>
        <v>71.02</v>
      </c>
      <c r="D80" s="329">
        <f>VLOOKUP(Prog!$B$17,CoYld,23,FALSE)</f>
        <v>55.2</v>
      </c>
      <c r="E80" s="329">
        <f>VLOOKUP(Prog!$B$17,CoYld,24,FALSE)</f>
        <v>87.3</v>
      </c>
      <c r="F80" s="329">
        <f>VLOOKUP(Prog!$B$17,CoYld,25,FALSE)</f>
        <v>68.709999999999994</v>
      </c>
      <c r="G80" s="330">
        <f>VLOOKUP(Prog!$B$17,CoYld,26,FALSE)</f>
        <v>103.32</v>
      </c>
      <c r="H80" s="312">
        <f t="shared" si="50"/>
        <v>75.680000000000007</v>
      </c>
      <c r="I80" s="313">
        <v>3.94</v>
      </c>
      <c r="K80" s="13"/>
      <c r="L80" s="13"/>
      <c r="M80" s="13"/>
      <c r="N80" s="13"/>
      <c r="BE80" s="28" t="s">
        <v>149</v>
      </c>
      <c r="BG80" s="2"/>
      <c r="BH80" s="2"/>
      <c r="BI80" s="219" t="s">
        <v>370</v>
      </c>
    </row>
    <row r="81" spans="1:57" x14ac:dyDescent="0.25">
      <c r="A81" s="321" t="s">
        <v>6</v>
      </c>
      <c r="B81" s="307" t="s">
        <v>23</v>
      </c>
      <c r="C81" s="328">
        <f>VLOOKUP(Prog!$B$17,CoYld,27,FALSE)</f>
        <v>17.78</v>
      </c>
      <c r="D81" s="329">
        <f>VLOOKUP(Prog!$B$17,CoYld,28,FALSE)</f>
        <v>9.6</v>
      </c>
      <c r="E81" s="329">
        <f>VLOOKUP(Prog!$B$17,CoYld,29,FALSE)</f>
        <v>11</v>
      </c>
      <c r="F81" s="329">
        <f>VLOOKUP(Prog!$B$17,CoYld,30,FALSE)</f>
        <v>16.2</v>
      </c>
      <c r="G81" s="330">
        <f>VLOOKUP(Prog!$B$17,CoYld,31,FALSE)</f>
        <v>20</v>
      </c>
      <c r="H81" s="312">
        <f t="shared" si="50"/>
        <v>14.99</v>
      </c>
      <c r="I81" s="314">
        <v>14.7</v>
      </c>
      <c r="K81" s="13"/>
      <c r="L81" s="13"/>
      <c r="M81" s="13"/>
      <c r="N81" s="13"/>
      <c r="BE81" s="28" t="s">
        <v>150</v>
      </c>
    </row>
    <row r="82" spans="1:57" x14ac:dyDescent="0.25">
      <c r="A82" s="321" t="s">
        <v>187</v>
      </c>
      <c r="B82" s="307" t="s">
        <v>23</v>
      </c>
      <c r="C82" s="328">
        <f>VLOOKUP(Prog!$B$17,CoYld,32,FALSE)</f>
        <v>53</v>
      </c>
      <c r="D82" s="329">
        <f>VLOOKUP(Prog!$B$17,CoYld,33,FALSE)</f>
        <v>20.8</v>
      </c>
      <c r="E82" s="329">
        <f>VLOOKUP(Prog!$B$17,CoYld,34,FALSE)</f>
        <v>54</v>
      </c>
      <c r="F82" s="329">
        <f>VLOOKUP(Prog!$B$17,CoYld,35,FALSE)</f>
        <v>79</v>
      </c>
      <c r="G82" s="330">
        <f>VLOOKUP(Prog!$B$17,CoYld,36,FALSE)</f>
        <v>81</v>
      </c>
      <c r="H82" s="312">
        <f t="shared" si="50"/>
        <v>62</v>
      </c>
      <c r="I82" s="313">
        <v>5.3</v>
      </c>
      <c r="K82" s="13"/>
      <c r="L82" s="13"/>
      <c r="M82" s="13"/>
      <c r="N82" s="13"/>
      <c r="BE82" s="28" t="s">
        <v>151</v>
      </c>
    </row>
    <row r="83" spans="1:57" x14ac:dyDescent="0.25">
      <c r="A83" s="321" t="s">
        <v>7</v>
      </c>
      <c r="B83" s="307" t="s">
        <v>28</v>
      </c>
      <c r="C83" s="328">
        <f>VLOOKUP(Prog!$B$17,CoYld,37,FALSE)</f>
        <v>1370.06</v>
      </c>
      <c r="D83" s="329">
        <f>VLOOKUP(Prog!$B$17,CoYld,38,FALSE)</f>
        <v>1114.6499999999999</v>
      </c>
      <c r="E83" s="329">
        <f>VLOOKUP(Prog!$B$17,CoYld,39,FALSE)</f>
        <v>2033.04</v>
      </c>
      <c r="F83" s="329">
        <f>VLOOKUP(Prog!$B$17,CoYld,40,FALSE)</f>
        <v>2146.0300000000002</v>
      </c>
      <c r="G83" s="330">
        <f>VLOOKUP(Prog!$B$17,CoYld,41,FALSE)</f>
        <v>2270.02</v>
      </c>
      <c r="H83" s="312">
        <f t="shared" si="50"/>
        <v>1849.71</v>
      </c>
      <c r="I83" s="314">
        <v>0.25950000000000001</v>
      </c>
      <c r="K83" s="13"/>
      <c r="L83" s="13"/>
      <c r="M83" s="13"/>
      <c r="N83" s="13"/>
      <c r="BE83" s="28" t="s">
        <v>152</v>
      </c>
    </row>
    <row r="84" spans="1:57" x14ac:dyDescent="0.25">
      <c r="A84" s="321" t="s">
        <v>21</v>
      </c>
      <c r="B84" s="307" t="s">
        <v>28</v>
      </c>
      <c r="C84" s="328">
        <f>VLOOKUP(Prog!$B$17,CoYld,42,FALSE)</f>
        <v>2217.64</v>
      </c>
      <c r="D84" s="329">
        <f>VLOOKUP(Prog!$B$17,CoYld,43,FALSE)</f>
        <v>1583.1000000000001</v>
      </c>
      <c r="E84" s="329">
        <f>VLOOKUP(Prog!$B$17,CoYld,44,FALSE)</f>
        <v>2269.44</v>
      </c>
      <c r="F84" s="329">
        <f>VLOOKUP(Prog!$B$17,CoYld,45,FALSE)</f>
        <v>2137.3500000000004</v>
      </c>
      <c r="G84" s="330">
        <f>VLOOKUP(Prog!$B$17,CoYld,46,FALSE)</f>
        <v>1749.1100000000001</v>
      </c>
      <c r="H84" s="312">
        <f t="shared" si="50"/>
        <v>2034.7</v>
      </c>
      <c r="I84" s="314">
        <v>0.25119999999999998</v>
      </c>
      <c r="J84" s="94"/>
      <c r="K84" s="13"/>
      <c r="L84" s="13"/>
      <c r="M84" s="13"/>
      <c r="N84" s="13"/>
      <c r="BE84" s="28" t="s">
        <v>153</v>
      </c>
    </row>
    <row r="85" spans="1:57" x14ac:dyDescent="0.25">
      <c r="A85" s="321" t="s">
        <v>10</v>
      </c>
      <c r="B85" s="307" t="s">
        <v>28</v>
      </c>
      <c r="C85" s="328">
        <f>VLOOKUP(Prog!$B$17,CoYld,47,FALSE)</f>
        <v>1517</v>
      </c>
      <c r="D85" s="329">
        <f>VLOOKUP(Prog!$B$17,CoYld,48,FALSE)</f>
        <v>1336</v>
      </c>
      <c r="E85" s="329">
        <f>VLOOKUP(Prog!$B$17,CoYld,49,FALSE)</f>
        <v>1919</v>
      </c>
      <c r="F85" s="329">
        <f>VLOOKUP(Prog!$B$17,CoYld,50,FALSE)</f>
        <v>2884</v>
      </c>
      <c r="G85" s="330">
        <f>VLOOKUP(Prog!$B$17,CoYld,51,FALSE)</f>
        <v>2006</v>
      </c>
      <c r="H85" s="312">
        <f t="shared" si="50"/>
        <v>1814</v>
      </c>
      <c r="I85" s="314">
        <v>0.14929999999999999</v>
      </c>
      <c r="K85" s="13"/>
      <c r="L85" s="13"/>
      <c r="M85" s="13"/>
      <c r="N85" s="13"/>
      <c r="BE85" s="28" t="s">
        <v>154</v>
      </c>
    </row>
    <row r="86" spans="1:57" x14ac:dyDescent="0.25">
      <c r="A86" s="321" t="s">
        <v>11</v>
      </c>
      <c r="B86" s="307" t="s">
        <v>28</v>
      </c>
      <c r="C86" s="328">
        <f>VLOOKUP(Prog!$B$17,CoYld,52,FALSE)</f>
        <v>1053</v>
      </c>
      <c r="D86" s="329">
        <f>VLOOKUP(Prog!$B$17,CoYld,53,FALSE)</f>
        <v>544</v>
      </c>
      <c r="E86" s="329">
        <f>VLOOKUP(Prog!$B$17,CoYld,54,FALSE)</f>
        <v>1029</v>
      </c>
      <c r="F86" s="329">
        <f>VLOOKUP(Prog!$B$17,CoYld,55,FALSE)</f>
        <v>1554</v>
      </c>
      <c r="G86" s="330">
        <f>VLOOKUP(Prog!$B$17,CoYld,56,FALSE)</f>
        <v>1081</v>
      </c>
      <c r="H86" s="312">
        <f t="shared" si="50"/>
        <v>1054.33</v>
      </c>
      <c r="I86" s="314">
        <v>0.35299999999999998</v>
      </c>
      <c r="J86" s="94"/>
      <c r="K86" s="13"/>
      <c r="L86" s="13"/>
      <c r="M86" s="13"/>
      <c r="N86" s="13"/>
      <c r="BE86" s="28" t="s">
        <v>155</v>
      </c>
    </row>
    <row r="87" spans="1:57" x14ac:dyDescent="0.25">
      <c r="A87" s="321" t="s">
        <v>8</v>
      </c>
      <c r="B87" s="307" t="s">
        <v>28</v>
      </c>
      <c r="C87" s="328" t="str">
        <f>VLOOKUP(Prog!$B$17,CoYld,57,FALSE)</f>
        <v/>
      </c>
      <c r="D87" s="329" t="str">
        <f>VLOOKUP(Prog!$B$17,CoYld,58,FALSE)</f>
        <v/>
      </c>
      <c r="E87" s="329" t="str">
        <f>VLOOKUP(Prog!$B$17,CoYld,59,FALSE)</f>
        <v/>
      </c>
      <c r="F87" s="329" t="str">
        <f>VLOOKUP(Prog!$B$17,CoYld,60,FALSE)</f>
        <v/>
      </c>
      <c r="G87" s="330" t="str">
        <f>VLOOKUP(Prog!$B$17,CoYld,61,FALSE)</f>
        <v/>
      </c>
      <c r="H87" s="312">
        <f t="shared" si="50"/>
        <v>0</v>
      </c>
      <c r="I87" s="314">
        <v>0.27729999999999999</v>
      </c>
      <c r="J87" s="94"/>
      <c r="K87" s="13"/>
      <c r="L87" s="13"/>
      <c r="M87" s="13"/>
      <c r="N87" s="13"/>
      <c r="BE87" s="28" t="s">
        <v>156</v>
      </c>
    </row>
    <row r="88" spans="1:57" x14ac:dyDescent="0.25">
      <c r="A88" s="321" t="s">
        <v>9</v>
      </c>
      <c r="B88" s="307" t="s">
        <v>28</v>
      </c>
      <c r="C88" s="328">
        <f>VLOOKUP(Prog!$B$17,CoYld,62,FALSE)</f>
        <v>609.6</v>
      </c>
      <c r="D88" s="329">
        <f>VLOOKUP(Prog!$B$17,CoYld,63,FALSE)</f>
        <v>609.6</v>
      </c>
      <c r="E88" s="329">
        <f>VLOOKUP(Prog!$B$17,CoYld,64,FALSE)</f>
        <v>609.6</v>
      </c>
      <c r="F88" s="329">
        <f>VLOOKUP(Prog!$B$17,CoYld,65,FALSE)</f>
        <v>699</v>
      </c>
      <c r="G88" s="330">
        <f>VLOOKUP(Prog!$B$17,CoYld,66,FALSE)</f>
        <v>744</v>
      </c>
      <c r="H88" s="312">
        <f t="shared" si="50"/>
        <v>639.4</v>
      </c>
      <c r="I88" s="314">
        <v>0.39369999999999999</v>
      </c>
      <c r="BE88" s="28" t="s">
        <v>157</v>
      </c>
    </row>
    <row r="89" spans="1:57" x14ac:dyDescent="0.25">
      <c r="A89" s="321" t="s">
        <v>410</v>
      </c>
      <c r="B89" s="307" t="s">
        <v>28</v>
      </c>
      <c r="C89" s="328" t="str">
        <f>VLOOKUP(Prog!$B$17,CoYld,67,FALSE)</f>
        <v/>
      </c>
      <c r="D89" s="329" t="str">
        <f>VLOOKUP(Prog!$B$17,CoYld,68,FALSE)</f>
        <v/>
      </c>
      <c r="E89" s="329" t="str">
        <f>VLOOKUP(Prog!$B$17,CoYld,69,FALSE)</f>
        <v/>
      </c>
      <c r="F89" s="329" t="str">
        <f>VLOOKUP(Prog!$B$17,CoYld,70,FALSE)</f>
        <v/>
      </c>
      <c r="G89" s="330" t="str">
        <f>VLOOKUP(Prog!$B$17,CoYld,71,FALSE)</f>
        <v/>
      </c>
      <c r="H89" s="312">
        <f t="shared" ref="H89:H90" si="51">AO63</f>
        <v>0</v>
      </c>
      <c r="I89" s="314">
        <v>0.25669999999999998</v>
      </c>
      <c r="BE89" s="28" t="s">
        <v>158</v>
      </c>
    </row>
    <row r="90" spans="1:57" x14ac:dyDescent="0.25">
      <c r="A90" s="321" t="s">
        <v>411</v>
      </c>
      <c r="B90" s="307" t="s">
        <v>28</v>
      </c>
      <c r="C90" s="409" t="str">
        <f>VLOOKUP(Prog!$B$17,CoYld,72,FALSE)</f>
        <v/>
      </c>
      <c r="D90" s="326" t="str">
        <f>VLOOKUP(Prog!$B$17,CoYld,73,FALSE)</f>
        <v/>
      </c>
      <c r="E90" s="326" t="str">
        <f>VLOOKUP(Prog!$B$17,CoYld,74,FALSE)</f>
        <v/>
      </c>
      <c r="F90" s="412" t="str">
        <f>VLOOKUP(Prog!$B$17,CoYld,75,FALSE)</f>
        <v/>
      </c>
      <c r="G90" s="327" t="str">
        <f>VLOOKUP(Prog!$B$17,CoYld,76,FALSE)</f>
        <v/>
      </c>
      <c r="H90" s="312">
        <f t="shared" si="51"/>
        <v>0</v>
      </c>
      <c r="I90" s="314">
        <v>0.23749999999999999</v>
      </c>
      <c r="BE90" s="28" t="s">
        <v>159</v>
      </c>
    </row>
    <row r="91" spans="1:57" x14ac:dyDescent="0.25">
      <c r="A91" s="321" t="s">
        <v>12</v>
      </c>
      <c r="B91" s="307" t="s">
        <v>28</v>
      </c>
      <c r="C91" s="408" t="str">
        <f>VLOOKUP(Prog!$B$17,CoYld,77,FALSE)</f>
        <v/>
      </c>
      <c r="D91" s="411" t="str">
        <f>VLOOKUP(Prog!$B$17,CoYld,78,FALSE)</f>
        <v/>
      </c>
      <c r="E91" s="411" t="str">
        <f>VLOOKUP(Prog!$B$17,CoYld,79,FALSE)</f>
        <v/>
      </c>
      <c r="F91" s="411" t="str">
        <f>VLOOKUP(Prog!$B$17,CoYld,80,FALSE)</f>
        <v/>
      </c>
      <c r="G91" s="410" t="str">
        <f>VLOOKUP(Prog!$B$17,CoYld,81,FALSE)</f>
        <v/>
      </c>
      <c r="H91" s="312">
        <f t="shared" ref="H91:H92" si="52">AO65</f>
        <v>0</v>
      </c>
      <c r="I91" s="314">
        <v>0.35470000000000002</v>
      </c>
      <c r="BE91" s="28" t="s">
        <v>160</v>
      </c>
    </row>
    <row r="92" spans="1:57" ht="15.75" thickBot="1" x14ac:dyDescent="0.3">
      <c r="A92" s="322" t="s">
        <v>13</v>
      </c>
      <c r="B92" s="308" t="s">
        <v>28</v>
      </c>
      <c r="C92" s="331" t="str">
        <f>VLOOKUP(Prog!$B$17,CoYld,82,FALSE)</f>
        <v/>
      </c>
      <c r="D92" s="332" t="str">
        <f>VLOOKUP(Prog!$B$17,CoYld,83,FALSE)</f>
        <v/>
      </c>
      <c r="E92" s="332" t="str">
        <f>VLOOKUP(Prog!$B$17,CoYld,84,FALSE)</f>
        <v/>
      </c>
      <c r="F92" s="332" t="str">
        <f>VLOOKUP(Prog!$B$17,CoYld,85,FALSE)</f>
        <v/>
      </c>
      <c r="G92" s="333" t="str">
        <f>VLOOKUP(Prog!$B$17,CoYld,86,FALSE)</f>
        <v/>
      </c>
      <c r="H92" s="315">
        <f t="shared" si="52"/>
        <v>0</v>
      </c>
      <c r="I92" s="316">
        <v>0.30680000000000002</v>
      </c>
      <c r="J92" s="94"/>
      <c r="BE92" s="28" t="s">
        <v>161</v>
      </c>
    </row>
    <row r="93" spans="1:57" x14ac:dyDescent="0.25">
      <c r="A93" s="88" t="s">
        <v>400</v>
      </c>
      <c r="J93" s="94"/>
      <c r="BE93" s="28" t="s">
        <v>162</v>
      </c>
    </row>
    <row r="94" spans="1:57" x14ac:dyDescent="0.25">
      <c r="A94" s="88" t="s">
        <v>401</v>
      </c>
      <c r="J94" s="94"/>
      <c r="BE94" s="28" t="s">
        <v>163</v>
      </c>
    </row>
    <row r="95" spans="1:57" x14ac:dyDescent="0.25">
      <c r="J95" s="94"/>
      <c r="BE95" s="28" t="s">
        <v>164</v>
      </c>
    </row>
    <row r="96" spans="1:57" x14ac:dyDescent="0.25">
      <c r="A96" s="177" t="s">
        <v>208</v>
      </c>
      <c r="BE96" s="28" t="s">
        <v>165</v>
      </c>
    </row>
    <row r="97" spans="1:57" x14ac:dyDescent="0.25">
      <c r="A97" s="88"/>
      <c r="BE97" s="28" t="s">
        <v>166</v>
      </c>
    </row>
    <row r="98" spans="1:57" x14ac:dyDescent="0.25">
      <c r="A98" s="88"/>
      <c r="BE98" s="28" t="s">
        <v>167</v>
      </c>
    </row>
    <row r="99" spans="1:57" x14ac:dyDescent="0.25">
      <c r="A99" s="93"/>
      <c r="BE99" s="28" t="s">
        <v>168</v>
      </c>
    </row>
    <row r="100" spans="1:57" x14ac:dyDescent="0.25">
      <c r="BE100" s="28" t="s">
        <v>169</v>
      </c>
    </row>
    <row r="101" spans="1:57" x14ac:dyDescent="0.25">
      <c r="A101" s="40"/>
      <c r="BE101" s="28" t="s">
        <v>170</v>
      </c>
    </row>
    <row r="106" spans="1:57" x14ac:dyDescent="0.25">
      <c r="B106" s="177"/>
      <c r="C106" s="177"/>
      <c r="D106" s="177"/>
      <c r="E106" s="177"/>
      <c r="F106" s="177"/>
      <c r="G106" s="177"/>
      <c r="H106" s="177"/>
      <c r="I106" s="177"/>
      <c r="J106" s="177"/>
      <c r="K106" s="177"/>
      <c r="L106" s="177"/>
    </row>
    <row r="416" ht="12.75" customHeight="1" x14ac:dyDescent="0.25"/>
    <row r="417" ht="12.75" customHeight="1" x14ac:dyDescent="0.25"/>
    <row r="418" ht="12.75" customHeight="1" x14ac:dyDescent="0.25"/>
    <row r="419" ht="12.75" customHeight="1" x14ac:dyDescent="0.25"/>
  </sheetData>
  <sheetProtection algorithmName="SHA-512" hashValue="so1OIKecuqk1yrjiCXqJpAIWTpKGsmkXfg7W4hlnF0zJisMWzGwD/42leP8W71MbLptQR2pEjNh4EBTEdnPUoQ==" saltValue="Yx9m5JXg/EzpY445Xb0Hpw==" spinCount="100000" sheet="1" objects="1" scenarios="1"/>
  <dataConsolidate/>
  <mergeCells count="14">
    <mergeCell ref="C74:G74"/>
    <mergeCell ref="C46:H46"/>
    <mergeCell ref="E11:M11"/>
    <mergeCell ref="E21:F21"/>
    <mergeCell ref="G21:H21"/>
    <mergeCell ref="G22:H22"/>
    <mergeCell ref="I46:L46"/>
    <mergeCell ref="C47:F47"/>
    <mergeCell ref="AJ22:AO22"/>
    <mergeCell ref="H10:N10"/>
    <mergeCell ref="B17:D17"/>
    <mergeCell ref="B14:D14"/>
    <mergeCell ref="B15:D15"/>
    <mergeCell ref="B16:D16"/>
  </mergeCells>
  <conditionalFormatting sqref="G24:G40">
    <cfRule type="expression" dxfId="1" priority="1">
      <formula>G24&gt;H24</formula>
    </cfRule>
  </conditionalFormatting>
  <conditionalFormatting sqref="H24:H40">
    <cfRule type="expression" dxfId="0" priority="2">
      <formula>H24&gt;G24</formula>
    </cfRule>
  </conditionalFormatting>
  <dataValidations count="7">
    <dataValidation type="decimal" operator="greaterThan" allowBlank="1" showErrorMessage="1" errorTitle="Farm Bill Payment" error="Input a number greater than 0, or leave blank" sqref="D24:D40" xr:uid="{00000000-0002-0000-0000-000000000000}">
      <formula1>0</formula1>
    </dataValidation>
    <dataValidation type="decimal" operator="greaterThan" allowBlank="1" showErrorMessage="1" errorTitle="Farm Bill Payment" error="Input the Base Acres, if any, for the crop. Input a number greater than 0, or leave blank." sqref="C24:C40" xr:uid="{00000000-0002-0000-0000-000001000000}">
      <formula1>0</formula1>
    </dataValidation>
    <dataValidation type="decimal" operator="greaterThanOrEqual" allowBlank="1" showInputMessage="1" showErrorMessage="1" sqref="F24:F40" xr:uid="{00000000-0002-0000-0000-000002000000}">
      <formula1>0</formula1>
    </dataValidation>
    <dataValidation type="decimal" operator="greaterThan" allowBlank="1" showInputMessage="1" showErrorMessage="1" sqref="E25:E40" xr:uid="{00000000-0002-0000-0000-000003000000}">
      <formula1>0</formula1>
    </dataValidation>
    <dataValidation type="decimal" operator="greaterThan" allowBlank="1" showInputMessage="1" showErrorMessage="1" errorTitle="Farm Bill Payment" error="Input a number greater than 0, or leave blank" sqref="E24" xr:uid="{00000000-0002-0000-0000-000004000000}">
      <formula1>0</formula1>
    </dataValidation>
    <dataValidation type="list" allowBlank="1" showInputMessage="1" showErrorMessage="1" sqref="B16:D16" xr:uid="{00000000-0002-0000-0000-000005000000}">
      <formula1>$BK$13:$BK$16</formula1>
    </dataValidation>
    <dataValidation type="list" allowBlank="1" showInputMessage="1" showErrorMessage="1" sqref="B17:D17" xr:uid="{00000000-0002-0000-0000-000006000000}">
      <formula1>IF($BM$18=1,MN,IF($BM$18=2,MT,IF($BM$18=3,ND,SD)))</formula1>
    </dataValidation>
  </dataValidations>
  <hyperlinks>
    <hyperlink ref="E11" r:id="rId1" xr:uid="{65BAF96A-1257-4DE0-9A7E-E808C5174994}"/>
    <hyperlink ref="H10" r:id="rId2" xr:uid="{D0D31BB1-3AEF-4B3E-BE85-5A64A2E52AC6}"/>
  </hyperlinks>
  <pageMargins left="0.5" right="0" top="0.75" bottom="0.25" header="0.3" footer="0.3"/>
  <pageSetup scale="84" orientation="portrait" r:id="rId3"/>
  <ignoredErrors>
    <ignoredError sqref="I60 I62" formula="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60"/>
  <sheetViews>
    <sheetView workbookViewId="0">
      <pane xSplit="1" ySplit="2" topLeftCell="B3" activePane="bottomRight" state="frozen"/>
      <selection pane="topRight" activeCell="B1" sqref="B1"/>
      <selection pane="bottomLeft" activeCell="A3" sqref="A3"/>
      <selection pane="bottomRight" activeCell="P260" sqref="P260"/>
    </sheetView>
  </sheetViews>
  <sheetFormatPr defaultRowHeight="15" x14ac:dyDescent="0.25"/>
  <cols>
    <col min="1" max="1" width="21.140625" customWidth="1"/>
    <col min="2" max="8" width="8.140625" customWidth="1"/>
    <col min="9" max="10" width="9.28515625" customWidth="1"/>
    <col min="11" max="11" width="9.85546875" customWidth="1"/>
    <col min="12" max="12" width="9.7109375" customWidth="1"/>
    <col min="13" max="13" width="9.42578125" customWidth="1"/>
    <col min="14" max="14" width="8.140625" customWidth="1"/>
    <col min="15" max="15" width="10.42578125" customWidth="1"/>
    <col min="16" max="16" width="9.28515625" customWidth="1"/>
    <col min="17" max="17" width="10" customWidth="1"/>
    <col min="18" max="18" width="10.5703125" customWidth="1"/>
  </cols>
  <sheetData>
    <row r="1" spans="1:18" ht="16.5" thickBot="1" x14ac:dyDescent="0.3">
      <c r="A1" s="239" t="s">
        <v>403</v>
      </c>
      <c r="B1" s="238"/>
      <c r="C1" s="238"/>
      <c r="D1" s="238"/>
      <c r="E1" s="238"/>
      <c r="F1" s="131"/>
      <c r="G1" s="131"/>
      <c r="H1" s="131"/>
      <c r="I1" s="131"/>
      <c r="J1" s="131"/>
      <c r="K1" s="131"/>
      <c r="L1" s="131"/>
      <c r="M1" s="130"/>
      <c r="N1" s="130"/>
      <c r="O1" s="130"/>
      <c r="P1" s="130"/>
      <c r="Q1" s="130"/>
      <c r="R1" s="130"/>
    </row>
    <row r="2" spans="1:18" ht="15.75" thickBot="1" x14ac:dyDescent="0.3">
      <c r="A2" s="142" t="s">
        <v>14</v>
      </c>
      <c r="B2" s="137" t="s">
        <v>1</v>
      </c>
      <c r="C2" s="138" t="s">
        <v>2</v>
      </c>
      <c r="D2" s="139" t="s">
        <v>3</v>
      </c>
      <c r="E2" s="139" t="s">
        <v>4</v>
      </c>
      <c r="F2" s="140" t="s">
        <v>5</v>
      </c>
      <c r="G2" s="139" t="s">
        <v>6</v>
      </c>
      <c r="H2" s="139" t="s">
        <v>187</v>
      </c>
      <c r="I2" s="139" t="s">
        <v>7</v>
      </c>
      <c r="J2" s="139" t="s">
        <v>219</v>
      </c>
      <c r="K2" s="139" t="s">
        <v>10</v>
      </c>
      <c r="L2" s="139" t="s">
        <v>11</v>
      </c>
      <c r="M2" s="139" t="s">
        <v>216</v>
      </c>
      <c r="N2" s="139" t="s">
        <v>9</v>
      </c>
      <c r="O2" s="407" t="s">
        <v>410</v>
      </c>
      <c r="P2" s="407" t="s">
        <v>411</v>
      </c>
      <c r="Q2" s="139" t="s">
        <v>217</v>
      </c>
      <c r="R2" s="141" t="s">
        <v>218</v>
      </c>
    </row>
    <row r="3" spans="1:18" x14ac:dyDescent="0.25">
      <c r="A3" s="132" t="s">
        <v>34</v>
      </c>
      <c r="B3" s="360">
        <v>43.18</v>
      </c>
      <c r="C3" s="335">
        <v>19.14</v>
      </c>
      <c r="D3" s="335">
        <v>70.739999999999995</v>
      </c>
      <c r="E3" s="335">
        <v>61.82</v>
      </c>
      <c r="F3" s="335">
        <v>59.18</v>
      </c>
      <c r="G3" s="335">
        <v>19.760000000000002</v>
      </c>
      <c r="H3" s="335">
        <v>34</v>
      </c>
      <c r="I3" s="335">
        <v>1550.89</v>
      </c>
      <c r="J3" s="335">
        <v>1628.24</v>
      </c>
      <c r="K3" s="335">
        <v>1734.79</v>
      </c>
      <c r="L3" s="335">
        <v>1076</v>
      </c>
      <c r="M3" s="335">
        <v>975.33</v>
      </c>
      <c r="N3" s="335">
        <v>567</v>
      </c>
      <c r="O3" s="337">
        <v>1303.33</v>
      </c>
      <c r="P3" s="337">
        <v>0</v>
      </c>
      <c r="Q3" s="335">
        <v>1303.73</v>
      </c>
      <c r="R3" s="341">
        <v>1408.16</v>
      </c>
    </row>
    <row r="4" spans="1:18" x14ac:dyDescent="0.25">
      <c r="A4" s="133" t="s">
        <v>35</v>
      </c>
      <c r="B4" s="355">
        <v>63.77</v>
      </c>
      <c r="C4" s="334">
        <v>40.72</v>
      </c>
      <c r="D4" s="334">
        <v>174.87</v>
      </c>
      <c r="E4" s="334">
        <v>75.63</v>
      </c>
      <c r="F4" s="334">
        <v>64.55</v>
      </c>
      <c r="G4" s="334">
        <v>18.07</v>
      </c>
      <c r="H4" s="334">
        <v>78</v>
      </c>
      <c r="I4" s="334">
        <v>1949.07</v>
      </c>
      <c r="J4" s="334">
        <v>2139.69</v>
      </c>
      <c r="K4" s="334">
        <v>2002.93</v>
      </c>
      <c r="L4" s="334">
        <v>0</v>
      </c>
      <c r="M4" s="334">
        <v>0</v>
      </c>
      <c r="N4" s="334">
        <v>0</v>
      </c>
      <c r="O4" s="334">
        <v>0</v>
      </c>
      <c r="P4" s="334">
        <v>0</v>
      </c>
      <c r="Q4" s="334">
        <v>0</v>
      </c>
      <c r="R4" s="339">
        <v>0</v>
      </c>
    </row>
    <row r="5" spans="1:18" x14ac:dyDescent="0.25">
      <c r="A5" s="133" t="s">
        <v>36</v>
      </c>
      <c r="B5" s="355">
        <v>60.57</v>
      </c>
      <c r="C5" s="334">
        <v>35.229999999999997</v>
      </c>
      <c r="D5" s="334">
        <v>143.68</v>
      </c>
      <c r="E5" s="334">
        <v>75.58</v>
      </c>
      <c r="F5" s="334">
        <v>69.12</v>
      </c>
      <c r="G5" s="334">
        <v>21.81</v>
      </c>
      <c r="H5" s="334">
        <v>63</v>
      </c>
      <c r="I5" s="334">
        <v>2098.65</v>
      </c>
      <c r="J5" s="334">
        <v>1770.84</v>
      </c>
      <c r="K5" s="334">
        <v>2204.6999999999998</v>
      </c>
      <c r="L5" s="334">
        <v>1208.8</v>
      </c>
      <c r="M5" s="334">
        <v>0</v>
      </c>
      <c r="N5" s="334">
        <v>667.4</v>
      </c>
      <c r="O5" s="334">
        <v>0</v>
      </c>
      <c r="P5" s="334">
        <v>0</v>
      </c>
      <c r="Q5" s="334">
        <v>0</v>
      </c>
      <c r="R5" s="339">
        <v>0</v>
      </c>
    </row>
    <row r="6" spans="1:18" x14ac:dyDescent="0.25">
      <c r="A6" s="133" t="s">
        <v>37</v>
      </c>
      <c r="B6" s="355">
        <v>36.270000000000003</v>
      </c>
      <c r="C6" s="334">
        <v>0</v>
      </c>
      <c r="D6" s="334">
        <v>62.57</v>
      </c>
      <c r="E6" s="334">
        <v>48.1</v>
      </c>
      <c r="F6" s="334">
        <v>48.19</v>
      </c>
      <c r="G6" s="334">
        <v>16.329999999999998</v>
      </c>
      <c r="H6" s="334">
        <v>0</v>
      </c>
      <c r="I6" s="334">
        <v>1636.56</v>
      </c>
      <c r="J6" s="334">
        <v>1528.5</v>
      </c>
      <c r="K6" s="334">
        <v>2235.1999999999998</v>
      </c>
      <c r="L6" s="334">
        <v>0</v>
      </c>
      <c r="M6" s="334">
        <v>979</v>
      </c>
      <c r="N6" s="334">
        <v>552</v>
      </c>
      <c r="O6" s="334">
        <v>1351</v>
      </c>
      <c r="P6" s="334">
        <v>0</v>
      </c>
      <c r="Q6" s="334">
        <v>0</v>
      </c>
      <c r="R6" s="339">
        <v>2056.33</v>
      </c>
    </row>
    <row r="7" spans="1:18" x14ac:dyDescent="0.25">
      <c r="A7" s="133" t="s">
        <v>38</v>
      </c>
      <c r="B7" s="355">
        <v>62.63</v>
      </c>
      <c r="C7" s="334">
        <v>33.51</v>
      </c>
      <c r="D7" s="334">
        <v>119.49</v>
      </c>
      <c r="E7" s="334">
        <v>83.64</v>
      </c>
      <c r="F7" s="334">
        <v>113.34</v>
      </c>
      <c r="G7" s="334">
        <v>25.02</v>
      </c>
      <c r="H7" s="334">
        <v>0</v>
      </c>
      <c r="I7" s="334">
        <v>2202.7800000000002</v>
      </c>
      <c r="J7" s="334">
        <v>1793.66</v>
      </c>
      <c r="K7" s="334">
        <v>2487.2399999999998</v>
      </c>
      <c r="L7" s="334">
        <v>1429.67</v>
      </c>
      <c r="M7" s="334">
        <v>994.33</v>
      </c>
      <c r="N7" s="334">
        <v>732</v>
      </c>
      <c r="O7" s="334">
        <v>1726</v>
      </c>
      <c r="P7" s="334">
        <v>0</v>
      </c>
      <c r="Q7" s="334">
        <v>1854</v>
      </c>
      <c r="R7" s="339">
        <v>0</v>
      </c>
    </row>
    <row r="8" spans="1:18" x14ac:dyDescent="0.25">
      <c r="A8" s="133" t="s">
        <v>39</v>
      </c>
      <c r="B8" s="355">
        <v>36.630000000000003</v>
      </c>
      <c r="C8" s="334">
        <v>16.670000000000002</v>
      </c>
      <c r="D8" s="334">
        <v>61.93</v>
      </c>
      <c r="E8" s="334">
        <v>39.97</v>
      </c>
      <c r="F8" s="334">
        <v>47.21</v>
      </c>
      <c r="G8" s="334">
        <v>18.39</v>
      </c>
      <c r="H8" s="334">
        <v>34</v>
      </c>
      <c r="I8" s="334">
        <v>1438.05</v>
      </c>
      <c r="J8" s="334">
        <v>1456.52</v>
      </c>
      <c r="K8" s="334">
        <v>1578.3</v>
      </c>
      <c r="L8" s="334">
        <v>1107.53</v>
      </c>
      <c r="M8" s="334">
        <v>941.13</v>
      </c>
      <c r="N8" s="334">
        <v>615.20000000000005</v>
      </c>
      <c r="O8" s="334">
        <v>0</v>
      </c>
      <c r="P8" s="334">
        <v>0</v>
      </c>
      <c r="Q8" s="334">
        <v>1185.33</v>
      </c>
      <c r="R8" s="339">
        <v>1512</v>
      </c>
    </row>
    <row r="9" spans="1:18" x14ac:dyDescent="0.25">
      <c r="A9" s="133" t="s">
        <v>40</v>
      </c>
      <c r="B9" s="355">
        <v>54.14</v>
      </c>
      <c r="C9" s="334">
        <v>26.22</v>
      </c>
      <c r="D9" s="334">
        <v>99.67</v>
      </c>
      <c r="E9" s="334">
        <v>70.63</v>
      </c>
      <c r="F9" s="334">
        <v>90.05</v>
      </c>
      <c r="G9" s="334">
        <v>23.74</v>
      </c>
      <c r="H9" s="334">
        <v>48</v>
      </c>
      <c r="I9" s="334">
        <v>1847.98</v>
      </c>
      <c r="J9" s="334">
        <v>1574.44</v>
      </c>
      <c r="K9" s="334">
        <v>2256.7600000000002</v>
      </c>
      <c r="L9" s="334">
        <v>1256.24</v>
      </c>
      <c r="M9" s="334">
        <v>970.67</v>
      </c>
      <c r="N9" s="334">
        <v>679.33</v>
      </c>
      <c r="O9" s="334">
        <v>1478.33</v>
      </c>
      <c r="P9" s="334">
        <v>1763.67</v>
      </c>
      <c r="Q9" s="334">
        <v>0</v>
      </c>
      <c r="R9" s="339">
        <v>2004</v>
      </c>
    </row>
    <row r="10" spans="1:18" x14ac:dyDescent="0.25">
      <c r="A10" s="133" t="s">
        <v>41</v>
      </c>
      <c r="B10" s="355">
        <v>54.15</v>
      </c>
      <c r="C10" s="334">
        <v>33.299999999999997</v>
      </c>
      <c r="D10" s="334">
        <v>116.89</v>
      </c>
      <c r="E10" s="334">
        <v>74.67</v>
      </c>
      <c r="F10" s="334">
        <v>69.69</v>
      </c>
      <c r="G10" s="334">
        <v>15.41</v>
      </c>
      <c r="H10" s="334">
        <v>53.33</v>
      </c>
      <c r="I10" s="334">
        <v>1931.02</v>
      </c>
      <c r="J10" s="334">
        <v>1934.33</v>
      </c>
      <c r="K10" s="334">
        <v>2597.41</v>
      </c>
      <c r="L10" s="334">
        <v>1505.33</v>
      </c>
      <c r="M10" s="334">
        <v>986.33</v>
      </c>
      <c r="N10" s="334">
        <v>0</v>
      </c>
      <c r="O10" s="334">
        <v>0</v>
      </c>
      <c r="P10" s="334">
        <v>0</v>
      </c>
      <c r="Q10" s="334">
        <v>0</v>
      </c>
      <c r="R10" s="339">
        <v>0</v>
      </c>
    </row>
    <row r="11" spans="1:18" x14ac:dyDescent="0.25">
      <c r="A11" s="133" t="s">
        <v>42</v>
      </c>
      <c r="B11" s="355">
        <v>67.540000000000006</v>
      </c>
      <c r="C11" s="334">
        <v>41.35</v>
      </c>
      <c r="D11" s="334">
        <v>180.92</v>
      </c>
      <c r="E11" s="334">
        <v>82.99</v>
      </c>
      <c r="F11" s="334">
        <v>80.16</v>
      </c>
      <c r="G11" s="334">
        <v>22.33</v>
      </c>
      <c r="H11" s="334">
        <v>82.67</v>
      </c>
      <c r="I11" s="334">
        <v>2053.7800000000002</v>
      </c>
      <c r="J11" s="334">
        <v>2512.13</v>
      </c>
      <c r="K11" s="334">
        <v>2200</v>
      </c>
      <c r="L11" s="334">
        <v>0</v>
      </c>
      <c r="M11" s="334">
        <v>0</v>
      </c>
      <c r="N11" s="334">
        <v>0</v>
      </c>
      <c r="O11" s="334">
        <v>0</v>
      </c>
      <c r="P11" s="334">
        <v>0</v>
      </c>
      <c r="Q11" s="334">
        <v>0</v>
      </c>
      <c r="R11" s="339">
        <v>0</v>
      </c>
    </row>
    <row r="12" spans="1:18" x14ac:dyDescent="0.25">
      <c r="A12" s="133" t="s">
        <v>43</v>
      </c>
      <c r="B12" s="355">
        <v>64.7</v>
      </c>
      <c r="C12" s="334">
        <v>37.520000000000003</v>
      </c>
      <c r="D12" s="334">
        <v>131.63</v>
      </c>
      <c r="E12" s="334">
        <v>79.7</v>
      </c>
      <c r="F12" s="334">
        <v>102</v>
      </c>
      <c r="G12" s="334">
        <v>23.96</v>
      </c>
      <c r="H12" s="334">
        <v>0</v>
      </c>
      <c r="I12" s="334">
        <v>2160.85</v>
      </c>
      <c r="J12" s="334">
        <v>2437.63</v>
      </c>
      <c r="K12" s="334">
        <v>3014.32</v>
      </c>
      <c r="L12" s="334">
        <v>1621.33</v>
      </c>
      <c r="M12" s="334">
        <v>0</v>
      </c>
      <c r="N12" s="334">
        <v>728.67</v>
      </c>
      <c r="O12" s="334">
        <v>0</v>
      </c>
      <c r="P12" s="334">
        <v>0</v>
      </c>
      <c r="Q12" s="334">
        <v>2276.67</v>
      </c>
      <c r="R12" s="339">
        <v>0</v>
      </c>
    </row>
    <row r="13" spans="1:18" x14ac:dyDescent="0.25">
      <c r="A13" s="133" t="s">
        <v>44</v>
      </c>
      <c r="B13" s="355">
        <v>56.65</v>
      </c>
      <c r="C13" s="334">
        <v>43.55</v>
      </c>
      <c r="D13" s="334">
        <v>181.78</v>
      </c>
      <c r="E13" s="334">
        <v>75.14</v>
      </c>
      <c r="F13" s="334">
        <v>70.37</v>
      </c>
      <c r="G13" s="334">
        <v>18</v>
      </c>
      <c r="H13" s="334">
        <v>83</v>
      </c>
      <c r="I13" s="334">
        <v>0</v>
      </c>
      <c r="J13" s="334">
        <v>2006.19</v>
      </c>
      <c r="K13" s="334">
        <v>2225.27</v>
      </c>
      <c r="L13" s="334">
        <v>0</v>
      </c>
      <c r="M13" s="334">
        <v>0</v>
      </c>
      <c r="N13" s="334">
        <v>631</v>
      </c>
      <c r="O13" s="334">
        <v>0</v>
      </c>
      <c r="P13" s="334">
        <v>0</v>
      </c>
      <c r="Q13" s="334">
        <v>0</v>
      </c>
      <c r="R13" s="339">
        <v>0</v>
      </c>
    </row>
    <row r="14" spans="1:18" x14ac:dyDescent="0.25">
      <c r="A14" s="133" t="s">
        <v>45</v>
      </c>
      <c r="B14" s="355">
        <v>38.15</v>
      </c>
      <c r="C14" s="334">
        <v>19.7</v>
      </c>
      <c r="D14" s="334">
        <v>100.8</v>
      </c>
      <c r="E14" s="334">
        <v>60.29</v>
      </c>
      <c r="F14" s="334">
        <v>68.36</v>
      </c>
      <c r="G14" s="334">
        <v>20.190000000000001</v>
      </c>
      <c r="H14" s="334">
        <v>0</v>
      </c>
      <c r="I14" s="334">
        <v>1732.83</v>
      </c>
      <c r="J14" s="334">
        <v>1670.36</v>
      </c>
      <c r="K14" s="334">
        <v>1839.68</v>
      </c>
      <c r="L14" s="334">
        <v>1062.8699999999999</v>
      </c>
      <c r="M14" s="334">
        <v>970.67</v>
      </c>
      <c r="N14" s="334">
        <v>618.01</v>
      </c>
      <c r="O14" s="334">
        <v>0</v>
      </c>
      <c r="P14" s="334">
        <v>0</v>
      </c>
      <c r="Q14" s="334">
        <v>1446.81</v>
      </c>
      <c r="R14" s="339">
        <v>1668.33</v>
      </c>
    </row>
    <row r="15" spans="1:18" x14ac:dyDescent="0.25">
      <c r="A15" s="133" t="s">
        <v>46</v>
      </c>
      <c r="B15" s="355">
        <v>41.67</v>
      </c>
      <c r="C15" s="334">
        <v>21.47</v>
      </c>
      <c r="D15" s="334">
        <v>79.11</v>
      </c>
      <c r="E15" s="334">
        <v>51.59</v>
      </c>
      <c r="F15" s="334">
        <v>71.760000000000005</v>
      </c>
      <c r="G15" s="334">
        <v>15.84</v>
      </c>
      <c r="H15" s="334">
        <v>35.67</v>
      </c>
      <c r="I15" s="334">
        <v>1688.25</v>
      </c>
      <c r="J15" s="334">
        <v>1867.31</v>
      </c>
      <c r="K15" s="334">
        <v>2243.96</v>
      </c>
      <c r="L15" s="334">
        <v>1370</v>
      </c>
      <c r="M15" s="334">
        <v>984.33</v>
      </c>
      <c r="N15" s="334">
        <v>575.92999999999995</v>
      </c>
      <c r="O15" s="334">
        <v>1323.67</v>
      </c>
      <c r="P15" s="334">
        <v>0</v>
      </c>
      <c r="Q15" s="334">
        <v>1674.33</v>
      </c>
      <c r="R15" s="339">
        <v>2044.67</v>
      </c>
    </row>
    <row r="16" spans="1:18" x14ac:dyDescent="0.25">
      <c r="A16" s="133" t="s">
        <v>47</v>
      </c>
      <c r="B16" s="355">
        <v>52.49</v>
      </c>
      <c r="C16" s="334">
        <v>34.9</v>
      </c>
      <c r="D16" s="334">
        <v>147.66999999999999</v>
      </c>
      <c r="E16" s="334">
        <v>64.39</v>
      </c>
      <c r="F16" s="334">
        <v>68.67</v>
      </c>
      <c r="G16" s="334">
        <v>20.67</v>
      </c>
      <c r="H16" s="334">
        <v>65.33</v>
      </c>
      <c r="I16" s="334">
        <v>1885.15</v>
      </c>
      <c r="J16" s="334">
        <v>1871.18</v>
      </c>
      <c r="K16" s="334">
        <v>1712.49</v>
      </c>
      <c r="L16" s="334">
        <v>0</v>
      </c>
      <c r="M16" s="334">
        <v>0</v>
      </c>
      <c r="N16" s="334">
        <v>0</v>
      </c>
      <c r="O16" s="334">
        <v>1502.67</v>
      </c>
      <c r="P16" s="334">
        <v>0</v>
      </c>
      <c r="Q16" s="334">
        <v>0</v>
      </c>
      <c r="R16" s="339">
        <v>0</v>
      </c>
    </row>
    <row r="17" spans="1:19" x14ac:dyDescent="0.25">
      <c r="A17" s="133" t="s">
        <v>48</v>
      </c>
      <c r="B17" s="355">
        <v>53.83</v>
      </c>
      <c r="C17" s="334">
        <v>34.200000000000003</v>
      </c>
      <c r="D17" s="334">
        <v>129.55000000000001</v>
      </c>
      <c r="E17" s="334">
        <v>78.349999999999994</v>
      </c>
      <c r="F17" s="334">
        <v>80.02</v>
      </c>
      <c r="G17" s="334">
        <v>16.329999999999998</v>
      </c>
      <c r="H17" s="334">
        <v>58</v>
      </c>
      <c r="I17" s="334">
        <v>1855.91</v>
      </c>
      <c r="J17" s="334">
        <v>2089.36</v>
      </c>
      <c r="K17" s="334">
        <v>2282.6</v>
      </c>
      <c r="L17" s="334">
        <v>1273.33</v>
      </c>
      <c r="M17" s="334">
        <v>997.67</v>
      </c>
      <c r="N17" s="334">
        <v>0</v>
      </c>
      <c r="O17" s="334">
        <v>0</v>
      </c>
      <c r="P17" s="334">
        <v>0</v>
      </c>
      <c r="Q17" s="334">
        <v>0</v>
      </c>
      <c r="R17" s="339">
        <v>0</v>
      </c>
      <c r="S17" s="13"/>
    </row>
    <row r="18" spans="1:19" x14ac:dyDescent="0.25">
      <c r="A18" s="133" t="s">
        <v>49</v>
      </c>
      <c r="B18" s="355">
        <v>59.48</v>
      </c>
      <c r="C18" s="334">
        <v>35.979999999999997</v>
      </c>
      <c r="D18" s="334">
        <v>159.31</v>
      </c>
      <c r="E18" s="334">
        <v>67.47</v>
      </c>
      <c r="F18" s="334">
        <v>85.85</v>
      </c>
      <c r="G18" s="334">
        <v>16.53</v>
      </c>
      <c r="H18" s="334">
        <v>71.33</v>
      </c>
      <c r="I18" s="334">
        <v>1745.22</v>
      </c>
      <c r="J18" s="334">
        <v>2195.15</v>
      </c>
      <c r="K18" s="334">
        <v>1947.8</v>
      </c>
      <c r="L18" s="334">
        <v>1076.93</v>
      </c>
      <c r="M18" s="334">
        <v>0</v>
      </c>
      <c r="N18" s="334">
        <v>0</v>
      </c>
      <c r="O18" s="334">
        <v>1348.33</v>
      </c>
      <c r="P18" s="334">
        <v>0</v>
      </c>
      <c r="Q18" s="334">
        <v>0</v>
      </c>
      <c r="R18" s="339">
        <v>0</v>
      </c>
    </row>
    <row r="19" spans="1:19" x14ac:dyDescent="0.25">
      <c r="A19" s="133" t="s">
        <v>50</v>
      </c>
      <c r="B19" s="355">
        <v>43.04</v>
      </c>
      <c r="C19" s="334">
        <v>19</v>
      </c>
      <c r="D19" s="334">
        <v>73.86</v>
      </c>
      <c r="E19" s="334">
        <v>43.67</v>
      </c>
      <c r="F19" s="334">
        <v>63.19</v>
      </c>
      <c r="G19" s="334">
        <v>16.559999999999999</v>
      </c>
      <c r="H19" s="334">
        <v>39.33</v>
      </c>
      <c r="I19" s="334">
        <v>1667.18</v>
      </c>
      <c r="J19" s="334">
        <v>1813.9</v>
      </c>
      <c r="K19" s="334">
        <v>1905.42</v>
      </c>
      <c r="L19" s="334">
        <v>1253.02</v>
      </c>
      <c r="M19" s="334">
        <v>923.67</v>
      </c>
      <c r="N19" s="334">
        <v>620</v>
      </c>
      <c r="O19" s="334">
        <v>1376.33</v>
      </c>
      <c r="P19" s="334">
        <v>1642</v>
      </c>
      <c r="Q19" s="334">
        <v>1385</v>
      </c>
      <c r="R19" s="339">
        <v>1665.33</v>
      </c>
    </row>
    <row r="20" spans="1:19" x14ac:dyDescent="0.25">
      <c r="A20" s="133" t="s">
        <v>51</v>
      </c>
      <c r="B20" s="355">
        <v>61.38</v>
      </c>
      <c r="C20" s="334">
        <v>36.86</v>
      </c>
      <c r="D20" s="334">
        <v>154.68</v>
      </c>
      <c r="E20" s="334">
        <v>73.64</v>
      </c>
      <c r="F20" s="334">
        <v>98</v>
      </c>
      <c r="G20" s="334">
        <v>24.8</v>
      </c>
      <c r="H20" s="334">
        <v>0</v>
      </c>
      <c r="I20" s="334">
        <v>1765.59</v>
      </c>
      <c r="J20" s="334">
        <v>2042.95</v>
      </c>
      <c r="K20" s="334">
        <v>2728.33</v>
      </c>
      <c r="L20" s="334">
        <v>1578.67</v>
      </c>
      <c r="M20" s="334">
        <v>0</v>
      </c>
      <c r="N20" s="334">
        <v>617.13</v>
      </c>
      <c r="O20" s="334">
        <v>0</v>
      </c>
      <c r="P20" s="334">
        <v>1643.67</v>
      </c>
      <c r="Q20" s="334">
        <v>0</v>
      </c>
      <c r="R20" s="339">
        <v>0</v>
      </c>
    </row>
    <row r="21" spans="1:19" x14ac:dyDescent="0.25">
      <c r="A21" s="133" t="s">
        <v>52</v>
      </c>
      <c r="B21" s="355">
        <v>43.49</v>
      </c>
      <c r="C21" s="334">
        <v>21.17</v>
      </c>
      <c r="D21" s="334">
        <v>73.72</v>
      </c>
      <c r="E21" s="334">
        <v>55.76</v>
      </c>
      <c r="F21" s="334">
        <v>66.59</v>
      </c>
      <c r="G21" s="334">
        <v>19.45</v>
      </c>
      <c r="H21" s="334">
        <v>34.33</v>
      </c>
      <c r="I21" s="334">
        <v>1833.21</v>
      </c>
      <c r="J21" s="334">
        <v>1640.07</v>
      </c>
      <c r="K21" s="334">
        <v>2228.67</v>
      </c>
      <c r="L21" s="334">
        <v>1290.67</v>
      </c>
      <c r="M21" s="334">
        <v>1000.33</v>
      </c>
      <c r="N21" s="334">
        <v>0</v>
      </c>
      <c r="O21" s="334">
        <v>1488.67</v>
      </c>
      <c r="P21" s="334">
        <v>0</v>
      </c>
      <c r="Q21" s="334">
        <v>1674.33</v>
      </c>
      <c r="R21" s="339">
        <v>2059.33</v>
      </c>
    </row>
    <row r="22" spans="1:19" x14ac:dyDescent="0.25">
      <c r="A22" s="133" t="s">
        <v>53</v>
      </c>
      <c r="B22" s="355">
        <v>59.09</v>
      </c>
      <c r="C22" s="334">
        <v>36.630000000000003</v>
      </c>
      <c r="D22" s="334">
        <v>161.97</v>
      </c>
      <c r="E22" s="334">
        <v>80.790000000000006</v>
      </c>
      <c r="F22" s="334">
        <v>74.7</v>
      </c>
      <c r="G22" s="334">
        <v>22.33</v>
      </c>
      <c r="H22" s="334">
        <v>0</v>
      </c>
      <c r="I22" s="334">
        <v>1671.45</v>
      </c>
      <c r="J22" s="334">
        <v>2030.11</v>
      </c>
      <c r="K22" s="334">
        <v>1812.3</v>
      </c>
      <c r="L22" s="334">
        <v>0</v>
      </c>
      <c r="M22" s="334">
        <v>0</v>
      </c>
      <c r="N22" s="334">
        <v>0</v>
      </c>
      <c r="O22" s="334">
        <v>0</v>
      </c>
      <c r="P22" s="334">
        <v>0</v>
      </c>
      <c r="Q22" s="334">
        <v>0</v>
      </c>
      <c r="R22" s="339">
        <v>0</v>
      </c>
    </row>
    <row r="23" spans="1:19" x14ac:dyDescent="0.25">
      <c r="A23" s="133" t="s">
        <v>54</v>
      </c>
      <c r="B23" s="355">
        <v>49.14</v>
      </c>
      <c r="C23" s="334">
        <v>22.9</v>
      </c>
      <c r="D23" s="334">
        <v>89.97</v>
      </c>
      <c r="E23" s="334">
        <v>78.05</v>
      </c>
      <c r="F23" s="334">
        <v>54.42</v>
      </c>
      <c r="G23" s="334">
        <v>22.95</v>
      </c>
      <c r="H23" s="334">
        <v>38</v>
      </c>
      <c r="I23" s="334">
        <v>1874.36</v>
      </c>
      <c r="J23" s="334">
        <v>1889.72</v>
      </c>
      <c r="K23" s="334">
        <v>2180.5300000000002</v>
      </c>
      <c r="L23" s="334">
        <v>1213.0899999999999</v>
      </c>
      <c r="M23" s="334">
        <v>1022</v>
      </c>
      <c r="N23" s="334">
        <v>647.33000000000004</v>
      </c>
      <c r="O23" s="334">
        <v>1490.67</v>
      </c>
      <c r="P23" s="334">
        <v>0</v>
      </c>
      <c r="Q23" s="334">
        <v>1638.67</v>
      </c>
      <c r="R23" s="339">
        <v>1712.87</v>
      </c>
    </row>
    <row r="24" spans="1:19" x14ac:dyDescent="0.25">
      <c r="A24" s="133" t="s">
        <v>55</v>
      </c>
      <c r="B24" s="355">
        <v>35.86</v>
      </c>
      <c r="C24" s="334">
        <v>32.32</v>
      </c>
      <c r="D24" s="334">
        <v>121.33</v>
      </c>
      <c r="E24" s="334">
        <v>48.38</v>
      </c>
      <c r="F24" s="334">
        <v>42.86</v>
      </c>
      <c r="G24" s="334">
        <v>9.8800000000000008</v>
      </c>
      <c r="H24" s="334">
        <v>63</v>
      </c>
      <c r="I24" s="334">
        <v>1524.4</v>
      </c>
      <c r="J24" s="334">
        <v>1042.92</v>
      </c>
      <c r="K24" s="334">
        <v>1989.47</v>
      </c>
      <c r="L24" s="334">
        <v>606.85</v>
      </c>
      <c r="M24" s="334">
        <v>1006</v>
      </c>
      <c r="N24" s="334">
        <v>0</v>
      </c>
      <c r="O24" s="334">
        <v>0</v>
      </c>
      <c r="P24" s="334">
        <v>1433.67</v>
      </c>
      <c r="Q24" s="334">
        <v>0</v>
      </c>
      <c r="R24" s="339">
        <v>1689.8</v>
      </c>
    </row>
    <row r="25" spans="1:19" x14ac:dyDescent="0.25">
      <c r="A25" s="133" t="s">
        <v>56</v>
      </c>
      <c r="B25" s="355">
        <v>60.59</v>
      </c>
      <c r="C25" s="334">
        <v>43</v>
      </c>
      <c r="D25" s="334">
        <v>186.16</v>
      </c>
      <c r="E25" s="334">
        <v>72.36</v>
      </c>
      <c r="F25" s="334">
        <v>63.94</v>
      </c>
      <c r="G25" s="334">
        <v>17</v>
      </c>
      <c r="H25" s="334">
        <v>84</v>
      </c>
      <c r="I25" s="334">
        <v>1657.33</v>
      </c>
      <c r="J25" s="334">
        <v>1927.89</v>
      </c>
      <c r="K25" s="334">
        <v>1655.93</v>
      </c>
      <c r="L25" s="334">
        <v>0</v>
      </c>
      <c r="M25" s="334">
        <v>0</v>
      </c>
      <c r="N25" s="334">
        <v>0</v>
      </c>
      <c r="O25" s="334">
        <v>0</v>
      </c>
      <c r="P25" s="334">
        <v>0</v>
      </c>
      <c r="Q25" s="334">
        <v>0</v>
      </c>
      <c r="R25" s="339">
        <v>0</v>
      </c>
    </row>
    <row r="26" spans="1:19" x14ac:dyDescent="0.25">
      <c r="A26" s="133" t="s">
        <v>57</v>
      </c>
      <c r="B26" s="355">
        <v>47.85</v>
      </c>
      <c r="C26" s="334">
        <v>32.83</v>
      </c>
      <c r="D26" s="334">
        <v>125.03</v>
      </c>
      <c r="E26" s="334">
        <v>63.25</v>
      </c>
      <c r="F26" s="334">
        <v>77.510000000000005</v>
      </c>
      <c r="G26" s="334">
        <v>13.23</v>
      </c>
      <c r="H26" s="334">
        <v>57</v>
      </c>
      <c r="I26" s="334">
        <v>1571.63</v>
      </c>
      <c r="J26" s="334">
        <v>1815.59</v>
      </c>
      <c r="K26" s="334">
        <v>1447.33</v>
      </c>
      <c r="L26" s="334">
        <v>0</v>
      </c>
      <c r="M26" s="334">
        <v>0</v>
      </c>
      <c r="N26" s="334">
        <v>614.4</v>
      </c>
      <c r="O26" s="334">
        <v>0</v>
      </c>
      <c r="P26" s="334">
        <v>0</v>
      </c>
      <c r="Q26" s="334">
        <v>1135.53</v>
      </c>
      <c r="R26" s="339">
        <v>0</v>
      </c>
    </row>
    <row r="27" spans="1:19" x14ac:dyDescent="0.25">
      <c r="A27" s="133" t="s">
        <v>58</v>
      </c>
      <c r="B27" s="355">
        <v>52.14</v>
      </c>
      <c r="C27" s="334">
        <v>34.82</v>
      </c>
      <c r="D27" s="334">
        <v>122.01</v>
      </c>
      <c r="E27" s="334">
        <v>65.66</v>
      </c>
      <c r="F27" s="334">
        <v>89.96</v>
      </c>
      <c r="G27" s="334">
        <v>23.63</v>
      </c>
      <c r="H27" s="334">
        <v>55.67</v>
      </c>
      <c r="I27" s="334">
        <v>2136.63</v>
      </c>
      <c r="J27" s="334">
        <v>1887.7</v>
      </c>
      <c r="K27" s="334">
        <v>2633.46</v>
      </c>
      <c r="L27" s="334">
        <v>1470.67</v>
      </c>
      <c r="M27" s="334">
        <v>0</v>
      </c>
      <c r="N27" s="334">
        <v>672.67</v>
      </c>
      <c r="O27" s="334">
        <v>0</v>
      </c>
      <c r="P27" s="334">
        <v>0</v>
      </c>
      <c r="Q27" s="334">
        <v>1973.33</v>
      </c>
      <c r="R27" s="339">
        <v>2396.67</v>
      </c>
    </row>
    <row r="28" spans="1:19" x14ac:dyDescent="0.25">
      <c r="A28" s="133" t="s">
        <v>59</v>
      </c>
      <c r="B28" s="355">
        <v>51.07</v>
      </c>
      <c r="C28" s="334">
        <v>31.94</v>
      </c>
      <c r="D28" s="334">
        <v>135.44999999999999</v>
      </c>
      <c r="E28" s="334">
        <v>71.38</v>
      </c>
      <c r="F28" s="334">
        <v>75.680000000000007</v>
      </c>
      <c r="G28" s="334">
        <v>14.99</v>
      </c>
      <c r="H28" s="334">
        <v>62</v>
      </c>
      <c r="I28" s="334">
        <v>1849.71</v>
      </c>
      <c r="J28" s="334">
        <v>2034.7</v>
      </c>
      <c r="K28" s="334">
        <v>1814</v>
      </c>
      <c r="L28" s="334">
        <v>1054.33</v>
      </c>
      <c r="M28" s="334">
        <v>0</v>
      </c>
      <c r="N28" s="334">
        <v>639.4</v>
      </c>
      <c r="O28" s="334">
        <v>0</v>
      </c>
      <c r="P28" s="334">
        <v>0</v>
      </c>
      <c r="Q28" s="334">
        <v>0</v>
      </c>
      <c r="R28" s="339">
        <v>0</v>
      </c>
    </row>
    <row r="29" spans="1:19" x14ac:dyDescent="0.25">
      <c r="A29" s="133" t="s">
        <v>60</v>
      </c>
      <c r="B29" s="355">
        <v>34.380000000000003</v>
      </c>
      <c r="C29" s="334">
        <v>0</v>
      </c>
      <c r="D29" s="334">
        <v>78.67</v>
      </c>
      <c r="E29" s="334">
        <v>57.99</v>
      </c>
      <c r="F29" s="334">
        <v>57.67</v>
      </c>
      <c r="G29" s="334">
        <v>17.73</v>
      </c>
      <c r="H29" s="334">
        <v>54</v>
      </c>
      <c r="I29" s="334">
        <v>1562.42</v>
      </c>
      <c r="J29" s="334">
        <v>1590.67</v>
      </c>
      <c r="K29" s="334">
        <v>1498.02</v>
      </c>
      <c r="L29" s="334">
        <v>1210.54</v>
      </c>
      <c r="M29" s="334">
        <v>970.33</v>
      </c>
      <c r="N29" s="334">
        <v>622.92999999999995</v>
      </c>
      <c r="O29" s="334">
        <v>0</v>
      </c>
      <c r="P29" s="334">
        <v>0</v>
      </c>
      <c r="Q29" s="334">
        <v>1124.5999999999999</v>
      </c>
      <c r="R29" s="339">
        <v>0</v>
      </c>
    </row>
    <row r="30" spans="1:19" x14ac:dyDescent="0.25">
      <c r="A30" s="133" t="s">
        <v>61</v>
      </c>
      <c r="B30" s="355">
        <v>55.2</v>
      </c>
      <c r="C30" s="334">
        <v>31.86</v>
      </c>
      <c r="D30" s="334">
        <v>113</v>
      </c>
      <c r="E30" s="334">
        <v>77.83</v>
      </c>
      <c r="F30" s="334">
        <v>72.31</v>
      </c>
      <c r="G30" s="334">
        <v>22.36</v>
      </c>
      <c r="H30" s="334">
        <v>51.67</v>
      </c>
      <c r="I30" s="334">
        <v>1972.84</v>
      </c>
      <c r="J30" s="334">
        <v>1895.97</v>
      </c>
      <c r="K30" s="334">
        <v>2087.4899999999998</v>
      </c>
      <c r="L30" s="334">
        <v>1348.71</v>
      </c>
      <c r="M30" s="334">
        <v>978.33</v>
      </c>
      <c r="N30" s="334">
        <v>680.93</v>
      </c>
      <c r="O30" s="334">
        <v>1566.33</v>
      </c>
      <c r="P30" s="334">
        <v>1868.33</v>
      </c>
      <c r="Q30" s="334">
        <v>1528.67</v>
      </c>
      <c r="R30" s="339">
        <v>1846.67</v>
      </c>
    </row>
    <row r="31" spans="1:19" x14ac:dyDescent="0.25">
      <c r="A31" s="133" t="s">
        <v>62</v>
      </c>
      <c r="B31" s="355">
        <v>45.66</v>
      </c>
      <c r="C31" s="334">
        <v>27.51</v>
      </c>
      <c r="D31" s="334">
        <v>97.7</v>
      </c>
      <c r="E31" s="334">
        <v>60.88</v>
      </c>
      <c r="F31" s="334">
        <v>62.15</v>
      </c>
      <c r="G31" s="334">
        <v>22.26</v>
      </c>
      <c r="H31" s="334">
        <v>45.67</v>
      </c>
      <c r="I31" s="334">
        <v>1779.4</v>
      </c>
      <c r="J31" s="334">
        <v>1794.85</v>
      </c>
      <c r="K31" s="334">
        <v>2191.23</v>
      </c>
      <c r="L31" s="334">
        <v>1243</v>
      </c>
      <c r="M31" s="334">
        <v>996.33</v>
      </c>
      <c r="N31" s="334">
        <v>640.79999999999995</v>
      </c>
      <c r="O31" s="334">
        <v>1404.67</v>
      </c>
      <c r="P31" s="334">
        <v>0</v>
      </c>
      <c r="Q31" s="334">
        <v>0</v>
      </c>
      <c r="R31" s="339">
        <v>1946.33</v>
      </c>
    </row>
    <row r="32" spans="1:19" x14ac:dyDescent="0.25">
      <c r="A32" s="133" t="s">
        <v>63</v>
      </c>
      <c r="B32" s="355">
        <v>49.96</v>
      </c>
      <c r="C32" s="334">
        <v>27.42</v>
      </c>
      <c r="D32" s="334">
        <v>96.43</v>
      </c>
      <c r="E32" s="334">
        <v>68.989999999999995</v>
      </c>
      <c r="F32" s="334">
        <v>78.55</v>
      </c>
      <c r="G32" s="334">
        <v>23.79</v>
      </c>
      <c r="H32" s="334">
        <v>45</v>
      </c>
      <c r="I32" s="334">
        <v>1989.74</v>
      </c>
      <c r="J32" s="334">
        <v>2033.79</v>
      </c>
      <c r="K32" s="334">
        <v>2409.63</v>
      </c>
      <c r="L32" s="334">
        <v>1398.33</v>
      </c>
      <c r="M32" s="334">
        <v>988.67</v>
      </c>
      <c r="N32" s="334">
        <v>0</v>
      </c>
      <c r="O32" s="334">
        <v>1601.33</v>
      </c>
      <c r="P32" s="334">
        <v>0</v>
      </c>
      <c r="Q32" s="334">
        <v>0</v>
      </c>
      <c r="R32" s="339">
        <v>2222.33</v>
      </c>
    </row>
    <row r="33" spans="1:18" x14ac:dyDescent="0.25">
      <c r="A33" s="133" t="s">
        <v>176</v>
      </c>
      <c r="B33" s="355">
        <v>52.87</v>
      </c>
      <c r="C33" s="334">
        <v>25.58</v>
      </c>
      <c r="D33" s="334">
        <v>86.28</v>
      </c>
      <c r="E33" s="334">
        <v>60.38</v>
      </c>
      <c r="F33" s="334">
        <v>73.53</v>
      </c>
      <c r="G33" s="334">
        <v>19.89</v>
      </c>
      <c r="H33" s="334">
        <v>37</v>
      </c>
      <c r="I33" s="334">
        <v>1927.49</v>
      </c>
      <c r="J33" s="334">
        <v>1607.51</v>
      </c>
      <c r="K33" s="334">
        <v>2018.94</v>
      </c>
      <c r="L33" s="334">
        <v>1167.53</v>
      </c>
      <c r="M33" s="334">
        <v>983.33</v>
      </c>
      <c r="N33" s="334">
        <v>616</v>
      </c>
      <c r="O33" s="334">
        <v>1542</v>
      </c>
      <c r="P33" s="334">
        <v>0</v>
      </c>
      <c r="Q33" s="334">
        <v>1513.33</v>
      </c>
      <c r="R33" s="339">
        <v>1842</v>
      </c>
    </row>
    <row r="34" spans="1:18" x14ac:dyDescent="0.25">
      <c r="A34" s="133" t="s">
        <v>64</v>
      </c>
      <c r="B34" s="355">
        <v>60.43</v>
      </c>
      <c r="C34" s="334">
        <v>34.520000000000003</v>
      </c>
      <c r="D34" s="334">
        <v>143.22999999999999</v>
      </c>
      <c r="E34" s="334">
        <v>75.599999999999994</v>
      </c>
      <c r="F34" s="334">
        <v>84.33</v>
      </c>
      <c r="G34" s="334">
        <v>25.89</v>
      </c>
      <c r="H34" s="334">
        <v>63.67</v>
      </c>
      <c r="I34" s="334">
        <v>1933.89</v>
      </c>
      <c r="J34" s="334">
        <v>1943.57</v>
      </c>
      <c r="K34" s="334">
        <v>2446.9</v>
      </c>
      <c r="L34" s="334">
        <v>0</v>
      </c>
      <c r="M34" s="334">
        <v>0</v>
      </c>
      <c r="N34" s="334">
        <v>706.67</v>
      </c>
      <c r="O34" s="334">
        <v>0</v>
      </c>
      <c r="P34" s="334">
        <v>1812.67</v>
      </c>
      <c r="Q34" s="334">
        <v>0</v>
      </c>
      <c r="R34" s="339">
        <v>0</v>
      </c>
    </row>
    <row r="35" spans="1:18" x14ac:dyDescent="0.25">
      <c r="A35" s="133" t="s">
        <v>65</v>
      </c>
      <c r="B35" s="355">
        <v>53.55</v>
      </c>
      <c r="C35" s="334">
        <v>31.33</v>
      </c>
      <c r="D35" s="334">
        <v>112.04</v>
      </c>
      <c r="E35" s="334">
        <v>65.39</v>
      </c>
      <c r="F35" s="334">
        <v>71.87</v>
      </c>
      <c r="G35" s="334">
        <v>23.64</v>
      </c>
      <c r="H35" s="334">
        <v>54</v>
      </c>
      <c r="I35" s="334">
        <v>1993.68</v>
      </c>
      <c r="J35" s="334">
        <v>2087.08</v>
      </c>
      <c r="K35" s="334">
        <v>1974.07</v>
      </c>
      <c r="L35" s="334">
        <v>1075.33</v>
      </c>
      <c r="M35" s="334">
        <v>986</v>
      </c>
      <c r="N35" s="334">
        <v>0</v>
      </c>
      <c r="O35" s="334">
        <v>1565.67</v>
      </c>
      <c r="P35" s="334">
        <v>0</v>
      </c>
      <c r="Q35" s="334">
        <v>1482.53</v>
      </c>
      <c r="R35" s="339">
        <v>0</v>
      </c>
    </row>
    <row r="36" spans="1:18" x14ac:dyDescent="0.25">
      <c r="A36" s="133" t="s">
        <v>66</v>
      </c>
      <c r="B36" s="355">
        <v>68.400000000000006</v>
      </c>
      <c r="C36" s="334">
        <v>41.86</v>
      </c>
      <c r="D36" s="334">
        <v>158.62</v>
      </c>
      <c r="E36" s="334">
        <v>84.66</v>
      </c>
      <c r="F36" s="334">
        <v>108.9</v>
      </c>
      <c r="G36" s="334">
        <v>25.13</v>
      </c>
      <c r="H36" s="334">
        <v>70</v>
      </c>
      <c r="I36" s="334">
        <v>2506.35</v>
      </c>
      <c r="J36" s="334">
        <v>2337.15</v>
      </c>
      <c r="K36" s="334">
        <v>2491.33</v>
      </c>
      <c r="L36" s="334">
        <v>1371.67</v>
      </c>
      <c r="M36" s="334">
        <v>0</v>
      </c>
      <c r="N36" s="334">
        <v>0</v>
      </c>
      <c r="O36" s="334">
        <v>0</v>
      </c>
      <c r="P36" s="334">
        <v>0</v>
      </c>
      <c r="Q36" s="334">
        <v>0</v>
      </c>
      <c r="R36" s="339">
        <v>0</v>
      </c>
    </row>
    <row r="37" spans="1:18" x14ac:dyDescent="0.25">
      <c r="A37" s="133" t="s">
        <v>67</v>
      </c>
      <c r="B37" s="355">
        <v>54.62</v>
      </c>
      <c r="C37" s="334">
        <v>32.69</v>
      </c>
      <c r="D37" s="334">
        <v>117.79</v>
      </c>
      <c r="E37" s="334">
        <v>76.7</v>
      </c>
      <c r="F37" s="334">
        <v>72.77</v>
      </c>
      <c r="G37" s="334">
        <v>22.99</v>
      </c>
      <c r="H37" s="334">
        <v>51.33</v>
      </c>
      <c r="I37" s="334">
        <v>2094.67</v>
      </c>
      <c r="J37" s="334">
        <v>1870.38</v>
      </c>
      <c r="K37" s="334">
        <v>2263.21</v>
      </c>
      <c r="L37" s="334">
        <v>1308.93</v>
      </c>
      <c r="M37" s="334">
        <v>0</v>
      </c>
      <c r="N37" s="334">
        <v>0</v>
      </c>
      <c r="O37" s="334">
        <v>1665</v>
      </c>
      <c r="P37" s="334">
        <v>0</v>
      </c>
      <c r="Q37" s="334">
        <v>0</v>
      </c>
      <c r="R37" s="339">
        <v>0</v>
      </c>
    </row>
    <row r="38" spans="1:18" x14ac:dyDescent="0.25">
      <c r="A38" s="133" t="s">
        <v>68</v>
      </c>
      <c r="B38" s="355">
        <v>57.6</v>
      </c>
      <c r="C38" s="334">
        <v>34.520000000000003</v>
      </c>
      <c r="D38" s="334">
        <v>135.41</v>
      </c>
      <c r="E38" s="334">
        <v>77.61</v>
      </c>
      <c r="F38" s="334">
        <v>78</v>
      </c>
      <c r="G38" s="334">
        <v>22.5</v>
      </c>
      <c r="H38" s="334">
        <v>56</v>
      </c>
      <c r="I38" s="334">
        <v>1935.36</v>
      </c>
      <c r="J38" s="334">
        <v>2358.59</v>
      </c>
      <c r="K38" s="334">
        <v>2215.9</v>
      </c>
      <c r="L38" s="334">
        <v>0</v>
      </c>
      <c r="M38" s="334">
        <v>0</v>
      </c>
      <c r="N38" s="334">
        <v>0</v>
      </c>
      <c r="O38" s="334">
        <v>0</v>
      </c>
      <c r="P38" s="334">
        <v>1790.67</v>
      </c>
      <c r="Q38" s="334">
        <v>0</v>
      </c>
      <c r="R38" s="339">
        <v>0</v>
      </c>
    </row>
    <row r="39" spans="1:18" x14ac:dyDescent="0.25">
      <c r="A39" s="133" t="s">
        <v>69</v>
      </c>
      <c r="B39" s="355">
        <v>64.489999999999995</v>
      </c>
      <c r="C39" s="334">
        <v>45</v>
      </c>
      <c r="D39" s="334">
        <v>187.66</v>
      </c>
      <c r="E39" s="334">
        <v>75</v>
      </c>
      <c r="F39" s="334">
        <v>68.650000000000006</v>
      </c>
      <c r="G39" s="334">
        <v>18.329999999999998</v>
      </c>
      <c r="H39" s="334">
        <v>86.67</v>
      </c>
      <c r="I39" s="334">
        <v>1854.17</v>
      </c>
      <c r="J39" s="334">
        <v>2096.6799999999998</v>
      </c>
      <c r="K39" s="334">
        <v>2070.73</v>
      </c>
      <c r="L39" s="334">
        <v>1199.67</v>
      </c>
      <c r="M39" s="334">
        <v>0</v>
      </c>
      <c r="N39" s="334">
        <v>0</v>
      </c>
      <c r="O39" s="334">
        <v>0</v>
      </c>
      <c r="P39" s="334">
        <v>0</v>
      </c>
      <c r="Q39" s="334">
        <v>0</v>
      </c>
      <c r="R39" s="339">
        <v>0</v>
      </c>
    </row>
    <row r="40" spans="1:18" x14ac:dyDescent="0.25">
      <c r="A40" s="133" t="s">
        <v>70</v>
      </c>
      <c r="B40" s="355">
        <v>56.32</v>
      </c>
      <c r="C40" s="334">
        <v>30.86</v>
      </c>
      <c r="D40" s="334">
        <v>109.36</v>
      </c>
      <c r="E40" s="334">
        <v>75.650000000000006</v>
      </c>
      <c r="F40" s="334">
        <v>84.91</v>
      </c>
      <c r="G40" s="334">
        <v>24.66</v>
      </c>
      <c r="H40" s="334">
        <v>0</v>
      </c>
      <c r="I40" s="334">
        <v>1976.7</v>
      </c>
      <c r="J40" s="334">
        <v>1986.83</v>
      </c>
      <c r="K40" s="334">
        <v>2372.8000000000002</v>
      </c>
      <c r="L40" s="334">
        <v>1295.67</v>
      </c>
      <c r="M40" s="334">
        <v>0</v>
      </c>
      <c r="N40" s="334">
        <v>669.8</v>
      </c>
      <c r="O40" s="334">
        <v>1578.67</v>
      </c>
      <c r="P40" s="334">
        <v>0</v>
      </c>
      <c r="Q40" s="334">
        <v>1840.67</v>
      </c>
      <c r="R40" s="339">
        <v>0</v>
      </c>
    </row>
    <row r="41" spans="1:18" x14ac:dyDescent="0.25">
      <c r="A41" s="133" t="s">
        <v>71</v>
      </c>
      <c r="B41" s="355">
        <v>59.81</v>
      </c>
      <c r="C41" s="334">
        <v>43.75</v>
      </c>
      <c r="D41" s="334">
        <v>179.17</v>
      </c>
      <c r="E41" s="334">
        <v>72.67</v>
      </c>
      <c r="F41" s="334">
        <v>70.83</v>
      </c>
      <c r="G41" s="334">
        <v>19.670000000000002</v>
      </c>
      <c r="H41" s="334">
        <v>82</v>
      </c>
      <c r="I41" s="334">
        <v>1788.93</v>
      </c>
      <c r="J41" s="334">
        <v>2320.0700000000002</v>
      </c>
      <c r="K41" s="334">
        <v>2162.33</v>
      </c>
      <c r="L41" s="334">
        <v>0</v>
      </c>
      <c r="M41" s="334">
        <v>0</v>
      </c>
      <c r="N41" s="334">
        <v>0</v>
      </c>
      <c r="O41" s="334">
        <v>0</v>
      </c>
      <c r="P41" s="334">
        <v>0</v>
      </c>
      <c r="Q41" s="334">
        <v>0</v>
      </c>
      <c r="R41" s="339">
        <v>0</v>
      </c>
    </row>
    <row r="42" spans="1:18" x14ac:dyDescent="0.25">
      <c r="A42" s="133" t="s">
        <v>72</v>
      </c>
      <c r="B42" s="355">
        <v>58.05</v>
      </c>
      <c r="C42" s="334">
        <v>34.06</v>
      </c>
      <c r="D42" s="334">
        <v>107.28</v>
      </c>
      <c r="E42" s="334">
        <v>85.05</v>
      </c>
      <c r="F42" s="334">
        <v>93.26</v>
      </c>
      <c r="G42" s="334">
        <v>26.54</v>
      </c>
      <c r="H42" s="334">
        <v>0</v>
      </c>
      <c r="I42" s="334">
        <v>2052.6</v>
      </c>
      <c r="J42" s="334">
        <v>2212.3200000000002</v>
      </c>
      <c r="K42" s="334">
        <v>2358.0300000000002</v>
      </c>
      <c r="L42" s="334">
        <v>0</v>
      </c>
      <c r="M42" s="334">
        <v>0</v>
      </c>
      <c r="N42" s="334">
        <v>635.20000000000005</v>
      </c>
      <c r="O42" s="334">
        <v>0</v>
      </c>
      <c r="P42" s="334">
        <v>0</v>
      </c>
      <c r="Q42" s="334">
        <v>0</v>
      </c>
      <c r="R42" s="339">
        <v>0</v>
      </c>
    </row>
    <row r="43" spans="1:18" x14ac:dyDescent="0.25">
      <c r="A43" s="133" t="s">
        <v>73</v>
      </c>
      <c r="B43" s="355">
        <v>58.28</v>
      </c>
      <c r="C43" s="334">
        <v>44.06</v>
      </c>
      <c r="D43" s="334">
        <v>183.28</v>
      </c>
      <c r="E43" s="334">
        <v>72.67</v>
      </c>
      <c r="F43" s="334">
        <v>73.33</v>
      </c>
      <c r="G43" s="334">
        <v>18</v>
      </c>
      <c r="H43" s="334">
        <v>83</v>
      </c>
      <c r="I43" s="334">
        <v>1790</v>
      </c>
      <c r="J43" s="334">
        <v>2354.37</v>
      </c>
      <c r="K43" s="334">
        <v>0</v>
      </c>
      <c r="L43" s="334">
        <v>0</v>
      </c>
      <c r="M43" s="334">
        <v>0</v>
      </c>
      <c r="N43" s="334">
        <v>0</v>
      </c>
      <c r="O43" s="334">
        <v>0</v>
      </c>
      <c r="P43" s="334">
        <v>0</v>
      </c>
      <c r="Q43" s="334">
        <v>0</v>
      </c>
      <c r="R43" s="339">
        <v>0</v>
      </c>
    </row>
    <row r="44" spans="1:18" x14ac:dyDescent="0.25">
      <c r="A44" s="133" t="s">
        <v>74</v>
      </c>
      <c r="B44" s="355">
        <v>56.46</v>
      </c>
      <c r="C44" s="334">
        <v>35.869999999999997</v>
      </c>
      <c r="D44" s="334">
        <v>135.05000000000001</v>
      </c>
      <c r="E44" s="334">
        <v>73.77</v>
      </c>
      <c r="F44" s="334">
        <v>80.97</v>
      </c>
      <c r="G44" s="334">
        <v>15.8</v>
      </c>
      <c r="H44" s="334">
        <v>60.33</v>
      </c>
      <c r="I44" s="334">
        <v>2010.49</v>
      </c>
      <c r="J44" s="334">
        <v>2263.52</v>
      </c>
      <c r="K44" s="334">
        <v>2296</v>
      </c>
      <c r="L44" s="334">
        <v>1343</v>
      </c>
      <c r="M44" s="334">
        <v>0</v>
      </c>
      <c r="N44" s="334">
        <v>654.20000000000005</v>
      </c>
      <c r="O44" s="334">
        <v>0</v>
      </c>
      <c r="P44" s="334">
        <v>0</v>
      </c>
      <c r="Q44" s="334">
        <v>0</v>
      </c>
      <c r="R44" s="339">
        <v>0</v>
      </c>
    </row>
    <row r="45" spans="1:18" x14ac:dyDescent="0.25">
      <c r="A45" s="133" t="s">
        <v>75</v>
      </c>
      <c r="B45" s="355">
        <v>43.44</v>
      </c>
      <c r="C45" s="334">
        <v>24.51</v>
      </c>
      <c r="D45" s="334">
        <v>80.260000000000005</v>
      </c>
      <c r="E45" s="334">
        <v>48.67</v>
      </c>
      <c r="F45" s="334">
        <v>59.88</v>
      </c>
      <c r="G45" s="334">
        <v>18.670000000000002</v>
      </c>
      <c r="H45" s="334">
        <v>38.33</v>
      </c>
      <c r="I45" s="334">
        <v>1820.42</v>
      </c>
      <c r="J45" s="334">
        <v>1820.43</v>
      </c>
      <c r="K45" s="334">
        <v>2136.33</v>
      </c>
      <c r="L45" s="334">
        <v>0</v>
      </c>
      <c r="M45" s="334">
        <v>0</v>
      </c>
      <c r="N45" s="334">
        <v>0</v>
      </c>
      <c r="O45" s="334">
        <v>0</v>
      </c>
      <c r="P45" s="334">
        <v>0</v>
      </c>
      <c r="Q45" s="334">
        <v>0</v>
      </c>
      <c r="R45" s="339">
        <v>0</v>
      </c>
    </row>
    <row r="46" spans="1:18" x14ac:dyDescent="0.25">
      <c r="A46" s="133" t="s">
        <v>76</v>
      </c>
      <c r="B46" s="355">
        <v>41.13</v>
      </c>
      <c r="C46" s="334">
        <v>19</v>
      </c>
      <c r="D46" s="334">
        <v>63.27</v>
      </c>
      <c r="E46" s="334">
        <v>44.43</v>
      </c>
      <c r="F46" s="334">
        <v>60</v>
      </c>
      <c r="G46" s="334">
        <v>18.77</v>
      </c>
      <c r="H46" s="334">
        <v>27.6</v>
      </c>
      <c r="I46" s="334">
        <v>1694.18</v>
      </c>
      <c r="J46" s="334">
        <v>1668.72</v>
      </c>
      <c r="K46" s="334">
        <v>2118.39</v>
      </c>
      <c r="L46" s="334">
        <v>1370.67</v>
      </c>
      <c r="M46" s="334">
        <v>990.33</v>
      </c>
      <c r="N46" s="334">
        <v>550.07000000000005</v>
      </c>
      <c r="O46" s="334">
        <v>0</v>
      </c>
      <c r="P46" s="334">
        <v>0</v>
      </c>
      <c r="Q46" s="334">
        <v>0</v>
      </c>
      <c r="R46" s="339">
        <v>1903.67</v>
      </c>
    </row>
    <row r="47" spans="1:18" x14ac:dyDescent="0.25">
      <c r="A47" s="133" t="s">
        <v>77</v>
      </c>
      <c r="B47" s="355">
        <v>45.57</v>
      </c>
      <c r="C47" s="334">
        <v>23.24</v>
      </c>
      <c r="D47" s="334">
        <v>88.8</v>
      </c>
      <c r="E47" s="334">
        <v>64.58</v>
      </c>
      <c r="F47" s="334">
        <v>72.099999999999994</v>
      </c>
      <c r="G47" s="334">
        <v>19.899999999999999</v>
      </c>
      <c r="H47" s="334">
        <v>38.33</v>
      </c>
      <c r="I47" s="334">
        <v>1949.36</v>
      </c>
      <c r="J47" s="334">
        <v>1856.25</v>
      </c>
      <c r="K47" s="334">
        <v>2298.59</v>
      </c>
      <c r="L47" s="334">
        <v>1326</v>
      </c>
      <c r="M47" s="334">
        <v>1003.67</v>
      </c>
      <c r="N47" s="334">
        <v>668.67</v>
      </c>
      <c r="O47" s="334">
        <v>1569</v>
      </c>
      <c r="P47" s="334">
        <v>0</v>
      </c>
      <c r="Q47" s="334">
        <v>1782</v>
      </c>
      <c r="R47" s="339">
        <v>2134.67</v>
      </c>
    </row>
    <row r="48" spans="1:18" x14ac:dyDescent="0.25">
      <c r="A48" s="133" t="s">
        <v>78</v>
      </c>
      <c r="B48" s="355">
        <v>65.64</v>
      </c>
      <c r="C48" s="334">
        <v>39.229999999999997</v>
      </c>
      <c r="D48" s="334">
        <v>171.66</v>
      </c>
      <c r="E48" s="334">
        <v>84.23</v>
      </c>
      <c r="F48" s="334">
        <v>85.33</v>
      </c>
      <c r="G48" s="334">
        <v>23.67</v>
      </c>
      <c r="H48" s="334">
        <v>0</v>
      </c>
      <c r="I48" s="334">
        <v>1895</v>
      </c>
      <c r="J48" s="334">
        <v>2030.95</v>
      </c>
      <c r="K48" s="334">
        <v>1956</v>
      </c>
      <c r="L48" s="334">
        <v>0</v>
      </c>
      <c r="M48" s="334">
        <v>0</v>
      </c>
      <c r="N48" s="334">
        <v>0</v>
      </c>
      <c r="O48" s="334">
        <v>0</v>
      </c>
      <c r="P48" s="334">
        <v>0</v>
      </c>
      <c r="Q48" s="334">
        <v>0</v>
      </c>
      <c r="R48" s="339">
        <v>0</v>
      </c>
    </row>
    <row r="49" spans="1:18" x14ac:dyDescent="0.25">
      <c r="A49" s="133" t="s">
        <v>79</v>
      </c>
      <c r="B49" s="355">
        <v>52.01</v>
      </c>
      <c r="C49" s="334">
        <v>39.200000000000003</v>
      </c>
      <c r="D49" s="334">
        <v>167.72</v>
      </c>
      <c r="E49" s="334">
        <v>69.09</v>
      </c>
      <c r="F49" s="334">
        <v>70.77</v>
      </c>
      <c r="G49" s="334">
        <v>14.02</v>
      </c>
      <c r="H49" s="334">
        <v>74.67</v>
      </c>
      <c r="I49" s="334">
        <v>1708.58</v>
      </c>
      <c r="J49" s="334">
        <v>1954.47</v>
      </c>
      <c r="K49" s="334">
        <v>1700.51</v>
      </c>
      <c r="L49" s="334">
        <v>1083.2</v>
      </c>
      <c r="M49" s="334">
        <v>0</v>
      </c>
      <c r="N49" s="334">
        <v>0</v>
      </c>
      <c r="O49" s="334">
        <v>1388.67</v>
      </c>
      <c r="P49" s="334">
        <v>0</v>
      </c>
      <c r="Q49" s="334">
        <v>1327.27</v>
      </c>
      <c r="R49" s="339">
        <v>0</v>
      </c>
    </row>
    <row r="50" spans="1:18" x14ac:dyDescent="0.25">
      <c r="A50" s="133" t="s">
        <v>80</v>
      </c>
      <c r="B50" s="355">
        <v>59.75</v>
      </c>
      <c r="C50" s="334">
        <v>36.340000000000003</v>
      </c>
      <c r="D50" s="334">
        <v>135.31</v>
      </c>
      <c r="E50" s="334">
        <v>64.459999999999994</v>
      </c>
      <c r="F50" s="334">
        <v>91.82</v>
      </c>
      <c r="G50" s="334">
        <v>24.87</v>
      </c>
      <c r="H50" s="334">
        <v>58</v>
      </c>
      <c r="I50" s="334">
        <v>1995.34</v>
      </c>
      <c r="J50" s="334">
        <v>2119.12</v>
      </c>
      <c r="K50" s="334">
        <v>2365.39</v>
      </c>
      <c r="L50" s="334">
        <v>0</v>
      </c>
      <c r="M50" s="334">
        <v>0</v>
      </c>
      <c r="N50" s="334">
        <v>775.2</v>
      </c>
      <c r="O50" s="334">
        <v>1557.67</v>
      </c>
      <c r="P50" s="334">
        <v>0</v>
      </c>
      <c r="Q50" s="334">
        <v>0</v>
      </c>
      <c r="R50" s="339">
        <v>0</v>
      </c>
    </row>
    <row r="51" spans="1:18" x14ac:dyDescent="0.25">
      <c r="A51" s="133" t="s">
        <v>81</v>
      </c>
      <c r="B51" s="355">
        <v>72.569999999999993</v>
      </c>
      <c r="C51" s="334">
        <v>40.630000000000003</v>
      </c>
      <c r="D51" s="334">
        <v>173.49</v>
      </c>
      <c r="E51" s="334">
        <v>93.5</v>
      </c>
      <c r="F51" s="334">
        <v>96.95</v>
      </c>
      <c r="G51" s="334">
        <v>24</v>
      </c>
      <c r="H51" s="334">
        <v>0</v>
      </c>
      <c r="I51" s="334">
        <v>1893</v>
      </c>
      <c r="J51" s="334">
        <v>2359.87</v>
      </c>
      <c r="K51" s="334">
        <v>2414</v>
      </c>
      <c r="L51" s="334">
        <v>0</v>
      </c>
      <c r="M51" s="334">
        <v>0</v>
      </c>
      <c r="N51" s="334">
        <v>0</v>
      </c>
      <c r="O51" s="334">
        <v>0</v>
      </c>
      <c r="P51" s="334">
        <v>0</v>
      </c>
      <c r="Q51" s="334">
        <v>0</v>
      </c>
      <c r="R51" s="339">
        <v>0</v>
      </c>
    </row>
    <row r="52" spans="1:18" x14ac:dyDescent="0.25">
      <c r="A52" s="133" t="s">
        <v>82</v>
      </c>
      <c r="B52" s="355">
        <v>66.69</v>
      </c>
      <c r="C52" s="334">
        <v>40.21</v>
      </c>
      <c r="D52" s="334">
        <v>158.63999999999999</v>
      </c>
      <c r="E52" s="334">
        <v>73.73</v>
      </c>
      <c r="F52" s="334">
        <v>110.4</v>
      </c>
      <c r="G52" s="334">
        <v>25.72</v>
      </c>
      <c r="H52" s="334">
        <v>71</v>
      </c>
      <c r="I52" s="334">
        <v>2055.71</v>
      </c>
      <c r="J52" s="334">
        <v>2229.96</v>
      </c>
      <c r="K52" s="334">
        <v>2576.9699999999998</v>
      </c>
      <c r="L52" s="334">
        <v>1509</v>
      </c>
      <c r="M52" s="334">
        <v>0</v>
      </c>
      <c r="N52" s="334">
        <v>0</v>
      </c>
      <c r="O52" s="334">
        <v>0</v>
      </c>
      <c r="P52" s="334">
        <v>1900.33</v>
      </c>
      <c r="Q52" s="334">
        <v>0</v>
      </c>
      <c r="R52" s="339">
        <v>0</v>
      </c>
    </row>
    <row r="53" spans="1:18" x14ac:dyDescent="0.25">
      <c r="A53" s="133" t="s">
        <v>83</v>
      </c>
      <c r="B53" s="355">
        <v>56.08</v>
      </c>
      <c r="C53" s="334">
        <v>33.79</v>
      </c>
      <c r="D53" s="334">
        <v>128.66999999999999</v>
      </c>
      <c r="E53" s="334">
        <v>77.98</v>
      </c>
      <c r="F53" s="334">
        <v>86.68</v>
      </c>
      <c r="G53" s="334">
        <v>22.53</v>
      </c>
      <c r="H53" s="334">
        <v>0</v>
      </c>
      <c r="I53" s="334">
        <v>2078.5500000000002</v>
      </c>
      <c r="J53" s="334">
        <v>2164.81</v>
      </c>
      <c r="K53" s="334">
        <v>2356.9899999999998</v>
      </c>
      <c r="L53" s="334">
        <v>1325.33</v>
      </c>
      <c r="M53" s="334">
        <v>983.33</v>
      </c>
      <c r="N53" s="334">
        <v>711.2</v>
      </c>
      <c r="O53" s="334">
        <v>1663.33</v>
      </c>
      <c r="P53" s="334">
        <v>0</v>
      </c>
      <c r="Q53" s="334">
        <v>1767.33</v>
      </c>
      <c r="R53" s="339">
        <v>2152.33</v>
      </c>
    </row>
    <row r="54" spans="1:18" x14ac:dyDescent="0.25">
      <c r="A54" s="133" t="s">
        <v>84</v>
      </c>
      <c r="B54" s="355">
        <v>61.7</v>
      </c>
      <c r="C54" s="334">
        <v>38.6</v>
      </c>
      <c r="D54" s="334">
        <v>160.58000000000001</v>
      </c>
      <c r="E54" s="334">
        <v>72.209999999999994</v>
      </c>
      <c r="F54" s="334">
        <v>109.56</v>
      </c>
      <c r="G54" s="334">
        <v>12.74</v>
      </c>
      <c r="H54" s="334">
        <v>71</v>
      </c>
      <c r="I54" s="334">
        <v>2083.06</v>
      </c>
      <c r="J54" s="334">
        <v>2100.63</v>
      </c>
      <c r="K54" s="334">
        <v>1798.93</v>
      </c>
      <c r="L54" s="334">
        <v>0</v>
      </c>
      <c r="M54" s="334">
        <v>0</v>
      </c>
      <c r="N54" s="334">
        <v>0</v>
      </c>
      <c r="O54" s="334">
        <v>0</v>
      </c>
      <c r="P54" s="334">
        <v>0</v>
      </c>
      <c r="Q54" s="334">
        <v>0</v>
      </c>
      <c r="R54" s="339">
        <v>0</v>
      </c>
    </row>
    <row r="55" spans="1:18" ht="15.75" thickBot="1" x14ac:dyDescent="0.3">
      <c r="A55" s="134" t="s">
        <v>85</v>
      </c>
      <c r="B55" s="356">
        <v>40.19</v>
      </c>
      <c r="C55" s="336">
        <v>18.47</v>
      </c>
      <c r="D55" s="336">
        <v>61</v>
      </c>
      <c r="E55" s="336">
        <v>57.85</v>
      </c>
      <c r="F55" s="336">
        <v>46.54</v>
      </c>
      <c r="G55" s="336">
        <v>16.89</v>
      </c>
      <c r="H55" s="336">
        <v>39.33</v>
      </c>
      <c r="I55" s="336">
        <v>1656.44</v>
      </c>
      <c r="J55" s="336">
        <v>1534.91</v>
      </c>
      <c r="K55" s="336">
        <v>1960.21</v>
      </c>
      <c r="L55" s="336">
        <v>1268.6300000000001</v>
      </c>
      <c r="M55" s="336">
        <v>1130.3499999999999</v>
      </c>
      <c r="N55" s="336">
        <v>601.42999999999995</v>
      </c>
      <c r="O55" s="336">
        <v>0</v>
      </c>
      <c r="P55" s="336">
        <v>0</v>
      </c>
      <c r="Q55" s="336">
        <v>1797.71</v>
      </c>
      <c r="R55" s="340">
        <v>1789.58</v>
      </c>
    </row>
    <row r="56" spans="1:18" x14ac:dyDescent="0.25">
      <c r="A56" s="151" t="s">
        <v>86</v>
      </c>
      <c r="B56" s="354">
        <v>56.95</v>
      </c>
      <c r="C56" s="337">
        <v>25.42</v>
      </c>
      <c r="D56" s="337">
        <v>86</v>
      </c>
      <c r="E56" s="337">
        <v>70.92</v>
      </c>
      <c r="F56" s="337">
        <v>51.72</v>
      </c>
      <c r="G56" s="337">
        <v>21.43</v>
      </c>
      <c r="H56" s="337">
        <v>0</v>
      </c>
      <c r="I56" s="337">
        <v>1708.05</v>
      </c>
      <c r="J56" s="337">
        <v>2194.83</v>
      </c>
      <c r="K56" s="337">
        <v>2252.17</v>
      </c>
      <c r="L56" s="337">
        <v>0</v>
      </c>
      <c r="M56" s="337">
        <v>0</v>
      </c>
      <c r="N56" s="337">
        <v>0</v>
      </c>
      <c r="O56" s="337">
        <v>0</v>
      </c>
      <c r="P56" s="337">
        <v>0</v>
      </c>
      <c r="Q56" s="337">
        <v>0</v>
      </c>
      <c r="R56" s="338">
        <v>0</v>
      </c>
    </row>
    <row r="57" spans="1:18" x14ac:dyDescent="0.25">
      <c r="A57" s="135" t="s">
        <v>87</v>
      </c>
      <c r="B57" s="355">
        <v>52.79</v>
      </c>
      <c r="C57" s="334">
        <v>35.479999999999997</v>
      </c>
      <c r="D57" s="334">
        <v>154.80000000000001</v>
      </c>
      <c r="E57" s="334">
        <v>70.849999999999994</v>
      </c>
      <c r="F57" s="334">
        <v>55.24</v>
      </c>
      <c r="G57" s="334">
        <v>0</v>
      </c>
      <c r="H57" s="334">
        <v>0</v>
      </c>
      <c r="I57" s="334">
        <v>0</v>
      </c>
      <c r="J57" s="334">
        <v>2194.83</v>
      </c>
      <c r="K57" s="334">
        <v>0</v>
      </c>
      <c r="L57" s="334">
        <v>0</v>
      </c>
      <c r="M57" s="334">
        <v>0</v>
      </c>
      <c r="N57" s="334">
        <v>0</v>
      </c>
      <c r="O57" s="334">
        <v>0</v>
      </c>
      <c r="P57" s="334">
        <v>0</v>
      </c>
      <c r="Q57" s="334">
        <v>0</v>
      </c>
      <c r="R57" s="339">
        <v>0</v>
      </c>
    </row>
    <row r="58" spans="1:18" x14ac:dyDescent="0.25">
      <c r="A58" s="135" t="s">
        <v>88</v>
      </c>
      <c r="B58" s="355">
        <v>59.72</v>
      </c>
      <c r="C58" s="334">
        <v>41.44</v>
      </c>
      <c r="D58" s="334">
        <v>174.1</v>
      </c>
      <c r="E58" s="334">
        <v>73.040000000000006</v>
      </c>
      <c r="F58" s="334">
        <v>43.63</v>
      </c>
      <c r="G58" s="334">
        <v>0</v>
      </c>
      <c r="H58" s="334">
        <v>0</v>
      </c>
      <c r="I58" s="334">
        <v>0</v>
      </c>
      <c r="J58" s="334">
        <v>2340.64</v>
      </c>
      <c r="K58" s="334">
        <v>2252.17</v>
      </c>
      <c r="L58" s="334">
        <v>0</v>
      </c>
      <c r="M58" s="334">
        <v>0</v>
      </c>
      <c r="N58" s="334">
        <v>0</v>
      </c>
      <c r="O58" s="334">
        <v>0</v>
      </c>
      <c r="P58" s="334">
        <v>0</v>
      </c>
      <c r="Q58" s="334">
        <v>0</v>
      </c>
      <c r="R58" s="339">
        <v>0</v>
      </c>
    </row>
    <row r="59" spans="1:18" x14ac:dyDescent="0.25">
      <c r="A59" s="135" t="s">
        <v>89</v>
      </c>
      <c r="B59" s="355">
        <v>56.32</v>
      </c>
      <c r="C59" s="334">
        <v>30.39</v>
      </c>
      <c r="D59" s="334">
        <v>143.30000000000001</v>
      </c>
      <c r="E59" s="334">
        <v>65.290000000000006</v>
      </c>
      <c r="F59" s="334">
        <v>78.67</v>
      </c>
      <c r="G59" s="334">
        <v>21.43</v>
      </c>
      <c r="H59" s="334">
        <v>0</v>
      </c>
      <c r="I59" s="334">
        <v>1702.23</v>
      </c>
      <c r="J59" s="334">
        <v>2194.83</v>
      </c>
      <c r="K59" s="334">
        <v>2252</v>
      </c>
      <c r="L59" s="334">
        <v>0</v>
      </c>
      <c r="M59" s="334">
        <v>0</v>
      </c>
      <c r="N59" s="334">
        <v>0</v>
      </c>
      <c r="O59" s="334">
        <v>0</v>
      </c>
      <c r="P59" s="334">
        <v>0</v>
      </c>
      <c r="Q59" s="334">
        <v>0</v>
      </c>
      <c r="R59" s="339">
        <v>0</v>
      </c>
    </row>
    <row r="60" spans="1:18" x14ac:dyDescent="0.25">
      <c r="A60" s="135" t="s">
        <v>90</v>
      </c>
      <c r="B60" s="355">
        <v>44.16</v>
      </c>
      <c r="C60" s="334">
        <v>41.99</v>
      </c>
      <c r="D60" s="334">
        <v>165.25</v>
      </c>
      <c r="E60" s="334">
        <v>70.319999999999993</v>
      </c>
      <c r="F60" s="334">
        <v>50.29</v>
      </c>
      <c r="G60" s="334">
        <v>0</v>
      </c>
      <c r="H60" s="334">
        <v>0</v>
      </c>
      <c r="I60" s="334">
        <v>0</v>
      </c>
      <c r="J60" s="334">
        <v>2194.83</v>
      </c>
      <c r="K60" s="334">
        <v>0</v>
      </c>
      <c r="L60" s="334">
        <v>0</v>
      </c>
      <c r="M60" s="334">
        <v>0</v>
      </c>
      <c r="N60" s="334">
        <v>0</v>
      </c>
      <c r="O60" s="334">
        <v>0</v>
      </c>
      <c r="P60" s="334">
        <v>0</v>
      </c>
      <c r="Q60" s="334">
        <v>0</v>
      </c>
      <c r="R60" s="339">
        <v>0</v>
      </c>
    </row>
    <row r="61" spans="1:18" x14ac:dyDescent="0.25">
      <c r="A61" s="135" t="s">
        <v>91</v>
      </c>
      <c r="B61" s="355">
        <v>51.13</v>
      </c>
      <c r="C61" s="334">
        <v>48.6</v>
      </c>
      <c r="D61" s="334">
        <v>192.43</v>
      </c>
      <c r="E61" s="334">
        <v>66.67</v>
      </c>
      <c r="F61" s="334">
        <v>62.46</v>
      </c>
      <c r="G61" s="334">
        <v>0</v>
      </c>
      <c r="H61" s="334">
        <v>0</v>
      </c>
      <c r="I61" s="334">
        <v>0</v>
      </c>
      <c r="J61" s="334">
        <v>2301.1</v>
      </c>
      <c r="K61" s="334">
        <v>0</v>
      </c>
      <c r="L61" s="334">
        <v>0</v>
      </c>
      <c r="M61" s="334">
        <v>0</v>
      </c>
      <c r="N61" s="334">
        <v>0</v>
      </c>
      <c r="O61" s="334">
        <v>0</v>
      </c>
      <c r="P61" s="334">
        <v>0</v>
      </c>
      <c r="Q61" s="334">
        <v>0</v>
      </c>
      <c r="R61" s="339">
        <v>0</v>
      </c>
    </row>
    <row r="62" spans="1:18" x14ac:dyDescent="0.25">
      <c r="A62" s="135" t="s">
        <v>92</v>
      </c>
      <c r="B62" s="355">
        <v>47.2</v>
      </c>
      <c r="C62" s="334">
        <v>64.150000000000006</v>
      </c>
      <c r="D62" s="334">
        <v>213.11</v>
      </c>
      <c r="E62" s="334">
        <v>73.28</v>
      </c>
      <c r="F62" s="334">
        <v>75.14</v>
      </c>
      <c r="G62" s="334">
        <v>0</v>
      </c>
      <c r="H62" s="334">
        <v>0</v>
      </c>
      <c r="I62" s="334">
        <v>0</v>
      </c>
      <c r="J62" s="334">
        <v>0</v>
      </c>
      <c r="K62" s="334">
        <v>0</v>
      </c>
      <c r="L62" s="334">
        <v>0</v>
      </c>
      <c r="M62" s="334">
        <v>0</v>
      </c>
      <c r="N62" s="334">
        <v>0</v>
      </c>
      <c r="O62" s="334">
        <v>0</v>
      </c>
      <c r="P62" s="334">
        <v>0</v>
      </c>
      <c r="Q62" s="334">
        <v>0</v>
      </c>
      <c r="R62" s="339">
        <v>0</v>
      </c>
    </row>
    <row r="63" spans="1:18" x14ac:dyDescent="0.25">
      <c r="A63" s="135" t="s">
        <v>93</v>
      </c>
      <c r="B63" s="355">
        <v>44.08</v>
      </c>
      <c r="C63" s="334">
        <v>58.28</v>
      </c>
      <c r="D63" s="334">
        <v>202.9</v>
      </c>
      <c r="E63" s="334">
        <v>73.28</v>
      </c>
      <c r="F63" s="334">
        <v>77.31</v>
      </c>
      <c r="G63" s="334">
        <v>0</v>
      </c>
      <c r="H63" s="334">
        <v>83.19</v>
      </c>
      <c r="I63" s="334">
        <v>0</v>
      </c>
      <c r="J63" s="334">
        <v>0</v>
      </c>
      <c r="K63" s="334">
        <v>0</v>
      </c>
      <c r="L63" s="334">
        <v>0</v>
      </c>
      <c r="M63" s="334">
        <v>0</v>
      </c>
      <c r="N63" s="334">
        <v>0</v>
      </c>
      <c r="O63" s="334">
        <v>0</v>
      </c>
      <c r="P63" s="334">
        <v>0</v>
      </c>
      <c r="Q63" s="334">
        <v>0</v>
      </c>
      <c r="R63" s="339">
        <v>0</v>
      </c>
    </row>
    <row r="64" spans="1:18" x14ac:dyDescent="0.25">
      <c r="A64" s="135" t="s">
        <v>94</v>
      </c>
      <c r="B64" s="355">
        <v>57.81</v>
      </c>
      <c r="C64" s="334">
        <v>37.14</v>
      </c>
      <c r="D64" s="334">
        <v>151.07</v>
      </c>
      <c r="E64" s="334">
        <v>71.78</v>
      </c>
      <c r="F64" s="334">
        <v>54.3</v>
      </c>
      <c r="G64" s="334">
        <v>0</v>
      </c>
      <c r="H64" s="334">
        <v>0</v>
      </c>
      <c r="I64" s="334">
        <v>0</v>
      </c>
      <c r="J64" s="334">
        <v>0</v>
      </c>
      <c r="K64" s="334">
        <v>0</v>
      </c>
      <c r="L64" s="334">
        <v>0</v>
      </c>
      <c r="M64" s="334">
        <v>0</v>
      </c>
      <c r="N64" s="334">
        <v>0</v>
      </c>
      <c r="O64" s="334">
        <v>0</v>
      </c>
      <c r="P64" s="334">
        <v>1970.67</v>
      </c>
      <c r="Q64" s="334">
        <v>0</v>
      </c>
      <c r="R64" s="339">
        <v>0</v>
      </c>
    </row>
    <row r="65" spans="1:18" x14ac:dyDescent="0.25">
      <c r="A65" s="135" t="s">
        <v>95</v>
      </c>
      <c r="B65" s="355">
        <v>40.5</v>
      </c>
      <c r="C65" s="334">
        <v>61.91</v>
      </c>
      <c r="D65" s="334">
        <v>208.36</v>
      </c>
      <c r="E65" s="334">
        <v>73.28</v>
      </c>
      <c r="F65" s="334">
        <v>62.87</v>
      </c>
      <c r="G65" s="334">
        <v>0</v>
      </c>
      <c r="H65" s="334">
        <v>0</v>
      </c>
      <c r="I65" s="334">
        <v>0</v>
      </c>
      <c r="J65" s="334">
        <v>0</v>
      </c>
      <c r="K65" s="334">
        <v>0</v>
      </c>
      <c r="L65" s="334">
        <v>0</v>
      </c>
      <c r="M65" s="334">
        <v>0</v>
      </c>
      <c r="N65" s="334">
        <v>0</v>
      </c>
      <c r="O65" s="334">
        <v>0</v>
      </c>
      <c r="P65" s="334">
        <v>0</v>
      </c>
      <c r="Q65" s="334">
        <v>0</v>
      </c>
      <c r="R65" s="339">
        <v>0</v>
      </c>
    </row>
    <row r="66" spans="1:18" x14ac:dyDescent="0.25">
      <c r="A66" s="135" t="s">
        <v>96</v>
      </c>
      <c r="B66" s="355">
        <v>52.68</v>
      </c>
      <c r="C66" s="334">
        <v>34.46</v>
      </c>
      <c r="D66" s="334">
        <v>106.06</v>
      </c>
      <c r="E66" s="334">
        <v>71.58</v>
      </c>
      <c r="F66" s="334">
        <v>56.13</v>
      </c>
      <c r="G66" s="334">
        <v>0</v>
      </c>
      <c r="H66" s="334">
        <v>83.19</v>
      </c>
      <c r="I66" s="334">
        <v>0</v>
      </c>
      <c r="J66" s="334">
        <v>0</v>
      </c>
      <c r="K66" s="334">
        <v>0</v>
      </c>
      <c r="L66" s="334">
        <v>0</v>
      </c>
      <c r="M66" s="334">
        <v>0</v>
      </c>
      <c r="N66" s="334">
        <v>0</v>
      </c>
      <c r="O66" s="334">
        <v>0</v>
      </c>
      <c r="P66" s="334">
        <v>0</v>
      </c>
      <c r="Q66" s="334">
        <v>0</v>
      </c>
      <c r="R66" s="339">
        <v>0</v>
      </c>
    </row>
    <row r="67" spans="1:18" x14ac:dyDescent="0.25">
      <c r="A67" s="135" t="s">
        <v>97</v>
      </c>
      <c r="B67" s="355">
        <v>45.25</v>
      </c>
      <c r="C67" s="334">
        <v>52.68</v>
      </c>
      <c r="D67" s="334">
        <v>208.96</v>
      </c>
      <c r="E67" s="334">
        <v>68.33</v>
      </c>
      <c r="F67" s="334">
        <v>63.89</v>
      </c>
      <c r="G67" s="334">
        <v>21.43</v>
      </c>
      <c r="H67" s="334">
        <v>0</v>
      </c>
      <c r="I67" s="334">
        <v>0</v>
      </c>
      <c r="J67" s="334">
        <v>2227.4299999999998</v>
      </c>
      <c r="K67" s="334">
        <v>2252.17</v>
      </c>
      <c r="L67" s="334">
        <v>0</v>
      </c>
      <c r="M67" s="334">
        <v>0</v>
      </c>
      <c r="N67" s="334">
        <v>0</v>
      </c>
      <c r="O67" s="334">
        <v>0</v>
      </c>
      <c r="P67" s="334">
        <v>0</v>
      </c>
      <c r="Q67" s="334">
        <v>0</v>
      </c>
      <c r="R67" s="339">
        <v>0</v>
      </c>
    </row>
    <row r="68" spans="1:18" x14ac:dyDescent="0.25">
      <c r="A68" s="135" t="s">
        <v>98</v>
      </c>
      <c r="B68" s="355">
        <v>54.15</v>
      </c>
      <c r="C68" s="334">
        <v>41.72</v>
      </c>
      <c r="D68" s="334">
        <v>155.65</v>
      </c>
      <c r="E68" s="334">
        <v>70.55</v>
      </c>
      <c r="F68" s="334">
        <v>54.03</v>
      </c>
      <c r="G68" s="334">
        <v>0</v>
      </c>
      <c r="H68" s="334">
        <v>83.19</v>
      </c>
      <c r="I68" s="334">
        <v>0</v>
      </c>
      <c r="J68" s="334">
        <v>2194.83</v>
      </c>
      <c r="K68" s="334">
        <v>0</v>
      </c>
      <c r="L68" s="334">
        <v>0</v>
      </c>
      <c r="M68" s="334">
        <v>0</v>
      </c>
      <c r="N68" s="334">
        <v>0</v>
      </c>
      <c r="O68" s="334">
        <v>0</v>
      </c>
      <c r="P68" s="334">
        <v>0</v>
      </c>
      <c r="Q68" s="334">
        <v>0</v>
      </c>
      <c r="R68" s="339">
        <v>0</v>
      </c>
    </row>
    <row r="69" spans="1:18" x14ac:dyDescent="0.25">
      <c r="A69" s="135" t="s">
        <v>99</v>
      </c>
      <c r="B69" s="355">
        <v>66.25</v>
      </c>
      <c r="C69" s="334">
        <v>40.049999999999997</v>
      </c>
      <c r="D69" s="334">
        <v>181.78</v>
      </c>
      <c r="E69" s="334">
        <v>80.069999999999993</v>
      </c>
      <c r="F69" s="334">
        <v>68.8</v>
      </c>
      <c r="G69" s="334">
        <v>21.43</v>
      </c>
      <c r="H69" s="334">
        <v>83.19</v>
      </c>
      <c r="I69" s="334">
        <v>1827.27</v>
      </c>
      <c r="J69" s="334">
        <v>2517.54</v>
      </c>
      <c r="K69" s="334">
        <v>2252.17</v>
      </c>
      <c r="L69" s="334">
        <v>0</v>
      </c>
      <c r="M69" s="334">
        <v>0</v>
      </c>
      <c r="N69" s="334">
        <v>0</v>
      </c>
      <c r="O69" s="334">
        <v>0</v>
      </c>
      <c r="P69" s="334">
        <v>0</v>
      </c>
      <c r="Q69" s="334">
        <v>0</v>
      </c>
      <c r="R69" s="339">
        <v>0</v>
      </c>
    </row>
    <row r="70" spans="1:18" x14ac:dyDescent="0.25">
      <c r="A70" s="135" t="s">
        <v>100</v>
      </c>
      <c r="B70" s="355">
        <v>51.5</v>
      </c>
      <c r="C70" s="334">
        <v>31.55</v>
      </c>
      <c r="D70" s="334">
        <v>137.07</v>
      </c>
      <c r="E70" s="334">
        <v>73.5</v>
      </c>
      <c r="F70" s="334">
        <v>82.47</v>
      </c>
      <c r="G70" s="334">
        <v>21.43</v>
      </c>
      <c r="H70" s="334">
        <v>83.19</v>
      </c>
      <c r="I70" s="334">
        <v>1812.6</v>
      </c>
      <c r="J70" s="334">
        <v>2206.44</v>
      </c>
      <c r="K70" s="334">
        <v>0</v>
      </c>
      <c r="L70" s="334">
        <v>0</v>
      </c>
      <c r="M70" s="334">
        <v>0</v>
      </c>
      <c r="N70" s="334">
        <v>0</v>
      </c>
      <c r="O70" s="334">
        <v>0</v>
      </c>
      <c r="P70" s="334">
        <v>0</v>
      </c>
      <c r="Q70" s="334">
        <v>0</v>
      </c>
      <c r="R70" s="339">
        <v>0</v>
      </c>
    </row>
    <row r="71" spans="1:18" x14ac:dyDescent="0.25">
      <c r="A71" s="135" t="s">
        <v>101</v>
      </c>
      <c r="B71" s="355">
        <v>54.04</v>
      </c>
      <c r="C71" s="334">
        <v>58.12</v>
      </c>
      <c r="D71" s="334">
        <v>214.09</v>
      </c>
      <c r="E71" s="334">
        <v>73.28</v>
      </c>
      <c r="F71" s="334">
        <v>103.11</v>
      </c>
      <c r="G71" s="334">
        <v>0</v>
      </c>
      <c r="H71" s="334">
        <v>0</v>
      </c>
      <c r="I71" s="334">
        <v>0</v>
      </c>
      <c r="J71" s="334">
        <v>2230.1</v>
      </c>
      <c r="K71" s="334">
        <v>0</v>
      </c>
      <c r="L71" s="334">
        <v>0</v>
      </c>
      <c r="M71" s="334">
        <v>0</v>
      </c>
      <c r="N71" s="334">
        <v>0</v>
      </c>
      <c r="O71" s="334">
        <v>0</v>
      </c>
      <c r="P71" s="334">
        <v>0</v>
      </c>
      <c r="Q71" s="334">
        <v>0</v>
      </c>
      <c r="R71" s="339">
        <v>0</v>
      </c>
    </row>
    <row r="72" spans="1:18" x14ac:dyDescent="0.25">
      <c r="A72" s="135" t="s">
        <v>102</v>
      </c>
      <c r="B72" s="355">
        <v>55.55</v>
      </c>
      <c r="C72" s="334">
        <v>31.39</v>
      </c>
      <c r="D72" s="334">
        <v>154.94</v>
      </c>
      <c r="E72" s="334">
        <v>70.849999999999994</v>
      </c>
      <c r="F72" s="334">
        <v>44.2</v>
      </c>
      <c r="G72" s="334">
        <v>21.43</v>
      </c>
      <c r="H72" s="334">
        <v>0</v>
      </c>
      <c r="I72" s="334">
        <v>0</v>
      </c>
      <c r="J72" s="334">
        <v>2194.83</v>
      </c>
      <c r="K72" s="334">
        <v>0</v>
      </c>
      <c r="L72" s="334">
        <v>0</v>
      </c>
      <c r="M72" s="334">
        <v>0</v>
      </c>
      <c r="N72" s="334">
        <v>0</v>
      </c>
      <c r="O72" s="334">
        <v>0</v>
      </c>
      <c r="P72" s="334">
        <v>0</v>
      </c>
      <c r="Q72" s="334">
        <v>0</v>
      </c>
      <c r="R72" s="339">
        <v>0</v>
      </c>
    </row>
    <row r="73" spans="1:18" x14ac:dyDescent="0.25">
      <c r="A73" s="135" t="s">
        <v>103</v>
      </c>
      <c r="B73" s="355">
        <v>34.67</v>
      </c>
      <c r="C73" s="334">
        <v>50.4</v>
      </c>
      <c r="D73" s="334">
        <v>176.12</v>
      </c>
      <c r="E73" s="334">
        <v>73.28</v>
      </c>
      <c r="F73" s="334">
        <v>73.290000000000006</v>
      </c>
      <c r="G73" s="334">
        <v>0</v>
      </c>
      <c r="H73" s="334">
        <v>0</v>
      </c>
      <c r="I73" s="334">
        <v>0</v>
      </c>
      <c r="J73" s="334">
        <v>0</v>
      </c>
      <c r="K73" s="334">
        <v>0</v>
      </c>
      <c r="L73" s="334">
        <v>0</v>
      </c>
      <c r="M73" s="334">
        <v>0</v>
      </c>
      <c r="N73" s="334">
        <v>0</v>
      </c>
      <c r="O73" s="334">
        <v>0</v>
      </c>
      <c r="P73" s="334">
        <v>0</v>
      </c>
      <c r="Q73" s="334">
        <v>0</v>
      </c>
      <c r="R73" s="339">
        <v>0</v>
      </c>
    </row>
    <row r="74" spans="1:18" x14ac:dyDescent="0.25">
      <c r="A74" s="135" t="s">
        <v>104</v>
      </c>
      <c r="B74" s="355">
        <v>46.17</v>
      </c>
      <c r="C74" s="334">
        <v>62.69</v>
      </c>
      <c r="D74" s="334">
        <v>0</v>
      </c>
      <c r="E74" s="334">
        <v>73.28</v>
      </c>
      <c r="F74" s="334">
        <v>77.97</v>
      </c>
      <c r="G74" s="334">
        <v>0</v>
      </c>
      <c r="H74" s="334">
        <v>83.19</v>
      </c>
      <c r="I74" s="334">
        <v>0</v>
      </c>
      <c r="J74" s="334">
        <v>0</v>
      </c>
      <c r="K74" s="334">
        <v>0</v>
      </c>
      <c r="L74" s="334">
        <v>0</v>
      </c>
      <c r="M74" s="334">
        <v>0</v>
      </c>
      <c r="N74" s="334">
        <v>0</v>
      </c>
      <c r="O74" s="334">
        <v>0</v>
      </c>
      <c r="P74" s="334">
        <v>0</v>
      </c>
      <c r="Q74" s="334">
        <v>0</v>
      </c>
      <c r="R74" s="339">
        <v>0</v>
      </c>
    </row>
    <row r="75" spans="1:18" x14ac:dyDescent="0.25">
      <c r="A75" s="135" t="s">
        <v>173</v>
      </c>
      <c r="B75" s="355">
        <v>48.48</v>
      </c>
      <c r="C75" s="334">
        <v>44.32</v>
      </c>
      <c r="D75" s="334">
        <v>184.94</v>
      </c>
      <c r="E75" s="334">
        <v>65.84</v>
      </c>
      <c r="F75" s="334">
        <v>55.2</v>
      </c>
      <c r="G75" s="334">
        <v>21.43</v>
      </c>
      <c r="H75" s="334">
        <v>83.19</v>
      </c>
      <c r="I75" s="334">
        <v>1791.05</v>
      </c>
      <c r="J75" s="334">
        <v>2263.77</v>
      </c>
      <c r="K75" s="334">
        <v>2252.17</v>
      </c>
      <c r="L75" s="334">
        <v>0</v>
      </c>
      <c r="M75" s="334">
        <v>0</v>
      </c>
      <c r="N75" s="334">
        <v>0</v>
      </c>
      <c r="O75" s="334">
        <v>0</v>
      </c>
      <c r="P75" s="334">
        <v>0</v>
      </c>
      <c r="Q75" s="334">
        <v>0</v>
      </c>
      <c r="R75" s="339">
        <v>0</v>
      </c>
    </row>
    <row r="76" spans="1:18" x14ac:dyDescent="0.25">
      <c r="A76" s="135" t="s">
        <v>105</v>
      </c>
      <c r="B76" s="355">
        <v>48.65</v>
      </c>
      <c r="C76" s="334">
        <v>40.97</v>
      </c>
      <c r="D76" s="334">
        <v>169.56</v>
      </c>
      <c r="E76" s="334">
        <v>59.36</v>
      </c>
      <c r="F76" s="334">
        <v>52.09</v>
      </c>
      <c r="G76" s="334">
        <v>21.43</v>
      </c>
      <c r="H76" s="334">
        <v>83.19</v>
      </c>
      <c r="I76" s="334">
        <v>1685.05</v>
      </c>
      <c r="J76" s="334">
        <v>2232.5</v>
      </c>
      <c r="K76" s="334">
        <v>2252.17</v>
      </c>
      <c r="L76" s="334">
        <v>0</v>
      </c>
      <c r="M76" s="334">
        <v>0</v>
      </c>
      <c r="N76" s="334">
        <v>0</v>
      </c>
      <c r="O76" s="334">
        <v>0</v>
      </c>
      <c r="P76" s="334">
        <v>0</v>
      </c>
      <c r="Q76" s="334">
        <v>0</v>
      </c>
      <c r="R76" s="339">
        <v>0</v>
      </c>
    </row>
    <row r="77" spans="1:18" x14ac:dyDescent="0.25">
      <c r="A77" s="135" t="s">
        <v>106</v>
      </c>
      <c r="B77" s="355">
        <v>69.7</v>
      </c>
      <c r="C77" s="334">
        <v>42.1</v>
      </c>
      <c r="D77" s="334">
        <v>168.12</v>
      </c>
      <c r="E77" s="334">
        <v>72.69</v>
      </c>
      <c r="F77" s="334">
        <v>85.6</v>
      </c>
      <c r="G77" s="334">
        <v>21.43</v>
      </c>
      <c r="H77" s="334">
        <v>0</v>
      </c>
      <c r="I77" s="334">
        <v>1811.7</v>
      </c>
      <c r="J77" s="334">
        <v>2319</v>
      </c>
      <c r="K77" s="334">
        <v>2252.17</v>
      </c>
      <c r="L77" s="334">
        <v>0</v>
      </c>
      <c r="M77" s="334">
        <v>0</v>
      </c>
      <c r="N77" s="334">
        <v>0</v>
      </c>
      <c r="O77" s="334">
        <v>0</v>
      </c>
      <c r="P77" s="334">
        <v>0</v>
      </c>
      <c r="Q77" s="334">
        <v>0</v>
      </c>
      <c r="R77" s="339">
        <v>0</v>
      </c>
    </row>
    <row r="78" spans="1:18" x14ac:dyDescent="0.25">
      <c r="A78" s="135" t="s">
        <v>107</v>
      </c>
      <c r="B78" s="355">
        <v>49.17</v>
      </c>
      <c r="C78" s="334">
        <v>65.16</v>
      </c>
      <c r="D78" s="334">
        <v>222.84</v>
      </c>
      <c r="E78" s="334">
        <v>73.28</v>
      </c>
      <c r="F78" s="334">
        <v>98.36</v>
      </c>
      <c r="G78" s="334">
        <v>0</v>
      </c>
      <c r="H78" s="334">
        <v>0</v>
      </c>
      <c r="I78" s="334">
        <v>0</v>
      </c>
      <c r="J78" s="334">
        <v>0</v>
      </c>
      <c r="K78" s="334">
        <v>0</v>
      </c>
      <c r="L78" s="334">
        <v>0</v>
      </c>
      <c r="M78" s="334">
        <v>0</v>
      </c>
      <c r="N78" s="334">
        <v>0</v>
      </c>
      <c r="O78" s="334">
        <v>0</v>
      </c>
      <c r="P78" s="334">
        <v>0</v>
      </c>
      <c r="Q78" s="334">
        <v>0</v>
      </c>
      <c r="R78" s="339">
        <v>0</v>
      </c>
    </row>
    <row r="79" spans="1:18" x14ac:dyDescent="0.25">
      <c r="A79" s="135" t="s">
        <v>108</v>
      </c>
      <c r="B79" s="355">
        <v>52.9</v>
      </c>
      <c r="C79" s="334">
        <v>61.25</v>
      </c>
      <c r="D79" s="334">
        <v>217.23</v>
      </c>
      <c r="E79" s="334">
        <v>73.28</v>
      </c>
      <c r="F79" s="334">
        <v>78.150000000000006</v>
      </c>
      <c r="G79" s="334">
        <v>0</v>
      </c>
      <c r="H79" s="334">
        <v>83.19</v>
      </c>
      <c r="I79" s="334">
        <v>0</v>
      </c>
      <c r="J79" s="334">
        <v>0</v>
      </c>
      <c r="K79" s="334">
        <v>0</v>
      </c>
      <c r="L79" s="334">
        <v>0</v>
      </c>
      <c r="M79" s="334">
        <v>0</v>
      </c>
      <c r="N79" s="334">
        <v>0</v>
      </c>
      <c r="O79" s="334">
        <v>0</v>
      </c>
      <c r="P79" s="334">
        <v>0</v>
      </c>
      <c r="Q79" s="334">
        <v>0</v>
      </c>
      <c r="R79" s="339">
        <v>0</v>
      </c>
    </row>
    <row r="80" spans="1:18" x14ac:dyDescent="0.25">
      <c r="A80" s="135" t="s">
        <v>109</v>
      </c>
      <c r="B80" s="355">
        <v>47.1</v>
      </c>
      <c r="C80" s="334">
        <v>60.95</v>
      </c>
      <c r="D80" s="334">
        <v>213.45</v>
      </c>
      <c r="E80" s="334">
        <v>73.28</v>
      </c>
      <c r="F80" s="334">
        <v>82.86</v>
      </c>
      <c r="G80" s="334">
        <v>0</v>
      </c>
      <c r="H80" s="334">
        <v>83.19</v>
      </c>
      <c r="I80" s="334">
        <v>0</v>
      </c>
      <c r="J80" s="334">
        <v>0</v>
      </c>
      <c r="K80" s="334">
        <v>0</v>
      </c>
      <c r="L80" s="334">
        <v>0</v>
      </c>
      <c r="M80" s="334">
        <v>0</v>
      </c>
      <c r="N80" s="334">
        <v>0</v>
      </c>
      <c r="O80" s="334">
        <v>0</v>
      </c>
      <c r="P80" s="334">
        <v>0</v>
      </c>
      <c r="Q80" s="334">
        <v>0</v>
      </c>
      <c r="R80" s="339">
        <v>0</v>
      </c>
    </row>
    <row r="81" spans="1:18" x14ac:dyDescent="0.25">
      <c r="A81" s="135" t="s">
        <v>110</v>
      </c>
      <c r="B81" s="355">
        <v>40.130000000000003</v>
      </c>
      <c r="C81" s="334">
        <v>62.64</v>
      </c>
      <c r="D81" s="334">
        <v>221.98</v>
      </c>
      <c r="E81" s="334">
        <v>73.28</v>
      </c>
      <c r="F81" s="334">
        <v>80.34</v>
      </c>
      <c r="G81" s="334">
        <v>0</v>
      </c>
      <c r="H81" s="334">
        <v>83.19</v>
      </c>
      <c r="I81" s="334">
        <v>0</v>
      </c>
      <c r="J81" s="334">
        <v>0</v>
      </c>
      <c r="K81" s="334">
        <v>0</v>
      </c>
      <c r="L81" s="334">
        <v>0</v>
      </c>
      <c r="M81" s="334">
        <v>0</v>
      </c>
      <c r="N81" s="334">
        <v>0</v>
      </c>
      <c r="O81" s="334">
        <v>0</v>
      </c>
      <c r="P81" s="334">
        <v>0</v>
      </c>
      <c r="Q81" s="334">
        <v>0</v>
      </c>
      <c r="R81" s="339">
        <v>0</v>
      </c>
    </row>
    <row r="82" spans="1:18" x14ac:dyDescent="0.25">
      <c r="A82" s="135" t="s">
        <v>111</v>
      </c>
      <c r="B82" s="355">
        <v>61.99</v>
      </c>
      <c r="C82" s="334">
        <v>47.5</v>
      </c>
      <c r="D82" s="334">
        <v>197.29</v>
      </c>
      <c r="E82" s="334">
        <v>71.23</v>
      </c>
      <c r="F82" s="334">
        <v>61.76</v>
      </c>
      <c r="G82" s="334">
        <v>0</v>
      </c>
      <c r="H82" s="334">
        <v>0</v>
      </c>
      <c r="I82" s="334">
        <v>0</v>
      </c>
      <c r="J82" s="334">
        <v>2194.83</v>
      </c>
      <c r="K82" s="334">
        <v>0</v>
      </c>
      <c r="L82" s="334">
        <v>0</v>
      </c>
      <c r="M82" s="334">
        <v>0</v>
      </c>
      <c r="N82" s="334">
        <v>0</v>
      </c>
      <c r="O82" s="334">
        <v>0</v>
      </c>
      <c r="P82" s="334">
        <v>0</v>
      </c>
      <c r="Q82" s="334">
        <v>0</v>
      </c>
      <c r="R82" s="339">
        <v>0</v>
      </c>
    </row>
    <row r="83" spans="1:18" x14ac:dyDescent="0.25">
      <c r="A83" s="135" t="s">
        <v>112</v>
      </c>
      <c r="B83" s="355">
        <v>46.86</v>
      </c>
      <c r="C83" s="334">
        <v>59.83</v>
      </c>
      <c r="D83" s="334">
        <v>184.61</v>
      </c>
      <c r="E83" s="334">
        <v>70.849999999999994</v>
      </c>
      <c r="F83" s="334">
        <v>54.47</v>
      </c>
      <c r="G83" s="334">
        <v>0</v>
      </c>
      <c r="H83" s="334">
        <v>0</v>
      </c>
      <c r="I83" s="334">
        <v>0</v>
      </c>
      <c r="J83" s="334">
        <v>0</v>
      </c>
      <c r="K83" s="334">
        <v>0</v>
      </c>
      <c r="L83" s="334">
        <v>0</v>
      </c>
      <c r="M83" s="334">
        <v>0</v>
      </c>
      <c r="N83" s="334">
        <v>0</v>
      </c>
      <c r="O83" s="334">
        <v>0</v>
      </c>
      <c r="P83" s="334">
        <v>0</v>
      </c>
      <c r="Q83" s="334">
        <v>0</v>
      </c>
      <c r="R83" s="339">
        <v>0</v>
      </c>
    </row>
    <row r="84" spans="1:18" x14ac:dyDescent="0.25">
      <c r="A84" s="135" t="s">
        <v>113</v>
      </c>
      <c r="B84" s="355">
        <v>56.02</v>
      </c>
      <c r="C84" s="334">
        <v>59.1</v>
      </c>
      <c r="D84" s="334">
        <v>208.58</v>
      </c>
      <c r="E84" s="334">
        <v>73.28</v>
      </c>
      <c r="F84" s="334">
        <v>70.64</v>
      </c>
      <c r="G84" s="334">
        <v>0</v>
      </c>
      <c r="H84" s="334">
        <v>0</v>
      </c>
      <c r="I84" s="334">
        <v>0</v>
      </c>
      <c r="J84" s="334">
        <v>0</v>
      </c>
      <c r="K84" s="334">
        <v>0</v>
      </c>
      <c r="L84" s="334">
        <v>0</v>
      </c>
      <c r="M84" s="334">
        <v>0</v>
      </c>
      <c r="N84" s="334">
        <v>0</v>
      </c>
      <c r="O84" s="334">
        <v>0</v>
      </c>
      <c r="P84" s="334">
        <v>0</v>
      </c>
      <c r="Q84" s="334">
        <v>0</v>
      </c>
      <c r="R84" s="339">
        <v>0</v>
      </c>
    </row>
    <row r="85" spans="1:18" x14ac:dyDescent="0.25">
      <c r="A85" s="135" t="s">
        <v>114</v>
      </c>
      <c r="B85" s="355">
        <v>48.64</v>
      </c>
      <c r="C85" s="334">
        <v>40.47</v>
      </c>
      <c r="D85" s="334">
        <v>78.650000000000006</v>
      </c>
      <c r="E85" s="334">
        <v>71.58</v>
      </c>
      <c r="F85" s="334">
        <v>35.47</v>
      </c>
      <c r="G85" s="334">
        <v>0</v>
      </c>
      <c r="H85" s="334">
        <v>0</v>
      </c>
      <c r="I85" s="334">
        <v>0</v>
      </c>
      <c r="J85" s="334">
        <v>2194.83</v>
      </c>
      <c r="K85" s="334">
        <v>0</v>
      </c>
      <c r="L85" s="334">
        <v>0</v>
      </c>
      <c r="M85" s="334">
        <v>0</v>
      </c>
      <c r="N85" s="334">
        <v>0</v>
      </c>
      <c r="O85" s="334">
        <v>0</v>
      </c>
      <c r="P85" s="334">
        <v>0</v>
      </c>
      <c r="Q85" s="334">
        <v>0</v>
      </c>
      <c r="R85" s="339">
        <v>0</v>
      </c>
    </row>
    <row r="86" spans="1:18" x14ac:dyDescent="0.25">
      <c r="A86" s="135" t="s">
        <v>115</v>
      </c>
      <c r="B86" s="355">
        <v>51.35</v>
      </c>
      <c r="C86" s="334">
        <v>38.729999999999997</v>
      </c>
      <c r="D86" s="334">
        <v>141.41999999999999</v>
      </c>
      <c r="E86" s="334">
        <v>70.319999999999993</v>
      </c>
      <c r="F86" s="334">
        <v>46.67</v>
      </c>
      <c r="G86" s="334">
        <v>0</v>
      </c>
      <c r="H86" s="334">
        <v>0</v>
      </c>
      <c r="I86" s="334">
        <v>0</v>
      </c>
      <c r="J86" s="334">
        <v>2194.83</v>
      </c>
      <c r="K86" s="334">
        <v>0</v>
      </c>
      <c r="L86" s="334">
        <v>0</v>
      </c>
      <c r="M86" s="334">
        <v>0</v>
      </c>
      <c r="N86" s="334">
        <v>0</v>
      </c>
      <c r="O86" s="334">
        <v>0</v>
      </c>
      <c r="P86" s="334">
        <v>0</v>
      </c>
      <c r="Q86" s="334">
        <v>0</v>
      </c>
      <c r="R86" s="339">
        <v>0</v>
      </c>
    </row>
    <row r="87" spans="1:18" x14ac:dyDescent="0.25">
      <c r="A87" s="135" t="s">
        <v>116</v>
      </c>
      <c r="B87" s="355">
        <v>53.23</v>
      </c>
      <c r="C87" s="334">
        <v>32.619999999999997</v>
      </c>
      <c r="D87" s="334">
        <v>115.3</v>
      </c>
      <c r="E87" s="334">
        <v>73.75</v>
      </c>
      <c r="F87" s="334">
        <v>69.45</v>
      </c>
      <c r="G87" s="334">
        <v>0</v>
      </c>
      <c r="H87" s="334">
        <v>0</v>
      </c>
      <c r="I87" s="334">
        <v>0</v>
      </c>
      <c r="J87" s="334">
        <v>0</v>
      </c>
      <c r="K87" s="334">
        <v>0</v>
      </c>
      <c r="L87" s="334">
        <v>0</v>
      </c>
      <c r="M87" s="334">
        <v>0</v>
      </c>
      <c r="N87" s="334">
        <v>0</v>
      </c>
      <c r="O87" s="334">
        <v>0</v>
      </c>
      <c r="P87" s="334">
        <v>0</v>
      </c>
      <c r="Q87" s="334">
        <v>0</v>
      </c>
      <c r="R87" s="339">
        <v>0</v>
      </c>
    </row>
    <row r="88" spans="1:18" x14ac:dyDescent="0.25">
      <c r="A88" s="135" t="s">
        <v>172</v>
      </c>
      <c r="B88" s="355">
        <v>50.97</v>
      </c>
      <c r="C88" s="334">
        <v>57.66</v>
      </c>
      <c r="D88" s="334">
        <v>207.28</v>
      </c>
      <c r="E88" s="334">
        <v>0</v>
      </c>
      <c r="F88" s="334">
        <v>86.84</v>
      </c>
      <c r="G88" s="334">
        <v>0</v>
      </c>
      <c r="H88" s="334">
        <v>0</v>
      </c>
      <c r="I88" s="334">
        <v>0</v>
      </c>
      <c r="J88" s="334">
        <v>2230.1</v>
      </c>
      <c r="K88" s="334">
        <v>0</v>
      </c>
      <c r="L88" s="334">
        <v>0</v>
      </c>
      <c r="M88" s="334">
        <v>0</v>
      </c>
      <c r="N88" s="334">
        <v>0</v>
      </c>
      <c r="O88" s="334">
        <v>0</v>
      </c>
      <c r="P88" s="334">
        <v>0</v>
      </c>
      <c r="Q88" s="334">
        <v>0</v>
      </c>
      <c r="R88" s="339">
        <v>0</v>
      </c>
    </row>
    <row r="89" spans="1:18" x14ac:dyDescent="0.25">
      <c r="A89" s="135" t="s">
        <v>117</v>
      </c>
      <c r="B89" s="355">
        <v>51.29</v>
      </c>
      <c r="C89" s="334">
        <v>39.97</v>
      </c>
      <c r="D89" s="334">
        <v>162.41</v>
      </c>
      <c r="E89" s="334">
        <v>70.75</v>
      </c>
      <c r="F89" s="334">
        <v>42.5</v>
      </c>
      <c r="G89" s="334">
        <v>0</v>
      </c>
      <c r="H89" s="334">
        <v>0</v>
      </c>
      <c r="I89" s="334">
        <v>0</v>
      </c>
      <c r="J89" s="334">
        <v>0</v>
      </c>
      <c r="K89" s="334">
        <v>0</v>
      </c>
      <c r="L89" s="334">
        <v>0</v>
      </c>
      <c r="M89" s="334">
        <v>0</v>
      </c>
      <c r="N89" s="334">
        <v>0</v>
      </c>
      <c r="O89" s="334">
        <v>0</v>
      </c>
      <c r="P89" s="334">
        <v>0</v>
      </c>
      <c r="Q89" s="334">
        <v>0</v>
      </c>
      <c r="R89" s="339">
        <v>0</v>
      </c>
    </row>
    <row r="90" spans="1:18" x14ac:dyDescent="0.25">
      <c r="A90" s="135" t="s">
        <v>118</v>
      </c>
      <c r="B90" s="355">
        <v>48.46</v>
      </c>
      <c r="C90" s="334">
        <v>53.71</v>
      </c>
      <c r="D90" s="334">
        <v>205.24</v>
      </c>
      <c r="E90" s="334">
        <v>72.88</v>
      </c>
      <c r="F90" s="334">
        <v>59.8</v>
      </c>
      <c r="G90" s="334">
        <v>0</v>
      </c>
      <c r="H90" s="334">
        <v>83.19</v>
      </c>
      <c r="I90" s="334">
        <v>0</v>
      </c>
      <c r="J90" s="334">
        <v>0</v>
      </c>
      <c r="K90" s="334">
        <v>0</v>
      </c>
      <c r="L90" s="334">
        <v>0</v>
      </c>
      <c r="M90" s="334">
        <v>0</v>
      </c>
      <c r="N90" s="334">
        <v>0</v>
      </c>
      <c r="O90" s="334">
        <v>0</v>
      </c>
      <c r="P90" s="334">
        <v>0</v>
      </c>
      <c r="Q90" s="334">
        <v>0</v>
      </c>
      <c r="R90" s="339">
        <v>0</v>
      </c>
    </row>
    <row r="91" spans="1:18" x14ac:dyDescent="0.25">
      <c r="A91" s="135" t="s">
        <v>119</v>
      </c>
      <c r="B91" s="355">
        <v>68.52</v>
      </c>
      <c r="C91" s="334">
        <v>38.99</v>
      </c>
      <c r="D91" s="334">
        <v>139.55000000000001</v>
      </c>
      <c r="E91" s="334">
        <v>95.3</v>
      </c>
      <c r="F91" s="334">
        <v>73.02</v>
      </c>
      <c r="G91" s="334">
        <v>21.43</v>
      </c>
      <c r="H91" s="334">
        <v>0</v>
      </c>
      <c r="I91" s="334">
        <v>2312.08</v>
      </c>
      <c r="J91" s="334">
        <v>2136.9</v>
      </c>
      <c r="K91" s="334">
        <v>2252.17</v>
      </c>
      <c r="L91" s="334">
        <v>0</v>
      </c>
      <c r="M91" s="334">
        <v>0</v>
      </c>
      <c r="N91" s="334">
        <v>0</v>
      </c>
      <c r="O91" s="334">
        <v>0</v>
      </c>
      <c r="P91" s="334">
        <v>0</v>
      </c>
      <c r="Q91" s="334">
        <v>0</v>
      </c>
      <c r="R91" s="339">
        <v>0</v>
      </c>
    </row>
    <row r="92" spans="1:18" x14ac:dyDescent="0.25">
      <c r="A92" s="135" t="s">
        <v>120</v>
      </c>
      <c r="B92" s="355">
        <v>47.52</v>
      </c>
      <c r="C92" s="334">
        <v>35.72</v>
      </c>
      <c r="D92" s="334">
        <v>123.92</v>
      </c>
      <c r="E92" s="334">
        <v>74.62</v>
      </c>
      <c r="F92" s="334">
        <v>74.069999999999993</v>
      </c>
      <c r="G92" s="334">
        <v>0</v>
      </c>
      <c r="H92" s="334">
        <v>0</v>
      </c>
      <c r="I92" s="334">
        <v>1752.42</v>
      </c>
      <c r="J92" s="334">
        <v>2214.1</v>
      </c>
      <c r="K92" s="334">
        <v>0</v>
      </c>
      <c r="L92" s="334">
        <v>0</v>
      </c>
      <c r="M92" s="334">
        <v>0</v>
      </c>
      <c r="N92" s="334">
        <v>0</v>
      </c>
      <c r="O92" s="334">
        <v>0</v>
      </c>
      <c r="P92" s="334">
        <v>0</v>
      </c>
      <c r="Q92" s="334">
        <v>0</v>
      </c>
      <c r="R92" s="339">
        <v>0</v>
      </c>
    </row>
    <row r="93" spans="1:18" x14ac:dyDescent="0.25">
      <c r="A93" s="135" t="s">
        <v>121</v>
      </c>
      <c r="B93" s="355">
        <v>44.61</v>
      </c>
      <c r="C93" s="334">
        <v>52.42</v>
      </c>
      <c r="D93" s="334">
        <v>197.96</v>
      </c>
      <c r="E93" s="334">
        <v>69.47</v>
      </c>
      <c r="F93" s="334">
        <v>61.29</v>
      </c>
      <c r="G93" s="334">
        <v>21.43</v>
      </c>
      <c r="H93" s="334">
        <v>83.19</v>
      </c>
      <c r="I93" s="334">
        <v>1708.05</v>
      </c>
      <c r="J93" s="334">
        <v>2294.1</v>
      </c>
      <c r="K93" s="334">
        <v>2252.17</v>
      </c>
      <c r="L93" s="334">
        <v>0</v>
      </c>
      <c r="M93" s="334">
        <v>0</v>
      </c>
      <c r="N93" s="334">
        <v>0</v>
      </c>
      <c r="O93" s="334">
        <v>0</v>
      </c>
      <c r="P93" s="334">
        <v>0</v>
      </c>
      <c r="Q93" s="334">
        <v>0</v>
      </c>
      <c r="R93" s="339">
        <v>0</v>
      </c>
    </row>
    <row r="94" spans="1:18" x14ac:dyDescent="0.25">
      <c r="A94" s="135" t="s">
        <v>122</v>
      </c>
      <c r="B94" s="355">
        <v>69.12</v>
      </c>
      <c r="C94" s="334">
        <v>37.61</v>
      </c>
      <c r="D94" s="334">
        <v>130.59</v>
      </c>
      <c r="E94" s="334">
        <v>77.25</v>
      </c>
      <c r="F94" s="334">
        <v>105.33</v>
      </c>
      <c r="G94" s="334">
        <v>21.43</v>
      </c>
      <c r="H94" s="334">
        <v>0</v>
      </c>
      <c r="I94" s="334">
        <v>1781.59</v>
      </c>
      <c r="J94" s="334">
        <v>2493.88</v>
      </c>
      <c r="K94" s="334">
        <v>0</v>
      </c>
      <c r="L94" s="334">
        <v>0</v>
      </c>
      <c r="M94" s="334">
        <v>0</v>
      </c>
      <c r="N94" s="334">
        <v>0</v>
      </c>
      <c r="O94" s="334">
        <v>0</v>
      </c>
      <c r="P94" s="334">
        <v>0</v>
      </c>
      <c r="Q94" s="334">
        <v>0</v>
      </c>
      <c r="R94" s="339">
        <v>0</v>
      </c>
    </row>
    <row r="95" spans="1:18" x14ac:dyDescent="0.25">
      <c r="A95" s="135" t="s">
        <v>123</v>
      </c>
      <c r="B95" s="355">
        <v>57.72</v>
      </c>
      <c r="C95" s="334">
        <v>61.64</v>
      </c>
      <c r="D95" s="334">
        <v>217.28</v>
      </c>
      <c r="E95" s="334">
        <v>73.28</v>
      </c>
      <c r="F95" s="334">
        <v>74.5</v>
      </c>
      <c r="G95" s="334">
        <v>0</v>
      </c>
      <c r="H95" s="334">
        <v>0</v>
      </c>
      <c r="I95" s="334">
        <v>0</v>
      </c>
      <c r="J95" s="334">
        <v>0</v>
      </c>
      <c r="K95" s="334">
        <v>0</v>
      </c>
      <c r="L95" s="334">
        <v>0</v>
      </c>
      <c r="M95" s="334">
        <v>0</v>
      </c>
      <c r="N95" s="334">
        <v>0</v>
      </c>
      <c r="O95" s="334">
        <v>0</v>
      </c>
      <c r="P95" s="334">
        <v>0</v>
      </c>
      <c r="Q95" s="334">
        <v>0</v>
      </c>
      <c r="R95" s="339">
        <v>0</v>
      </c>
    </row>
    <row r="96" spans="1:18" x14ac:dyDescent="0.25">
      <c r="A96" s="135" t="s">
        <v>124</v>
      </c>
      <c r="B96" s="355">
        <v>57.4</v>
      </c>
      <c r="C96" s="334">
        <v>47.19</v>
      </c>
      <c r="D96" s="334">
        <v>190.18</v>
      </c>
      <c r="E96" s="334">
        <v>67.22</v>
      </c>
      <c r="F96" s="334">
        <v>98.45</v>
      </c>
      <c r="G96" s="334">
        <v>0</v>
      </c>
      <c r="H96" s="334">
        <v>83.19</v>
      </c>
      <c r="I96" s="334">
        <v>0</v>
      </c>
      <c r="J96" s="334">
        <v>2230.1</v>
      </c>
      <c r="K96" s="334">
        <v>0</v>
      </c>
      <c r="L96" s="334">
        <v>0</v>
      </c>
      <c r="M96" s="334">
        <v>0</v>
      </c>
      <c r="N96" s="334">
        <v>0</v>
      </c>
      <c r="O96" s="334">
        <v>0</v>
      </c>
      <c r="P96" s="334">
        <v>0</v>
      </c>
      <c r="Q96" s="334">
        <v>0</v>
      </c>
      <c r="R96" s="339">
        <v>0</v>
      </c>
    </row>
    <row r="97" spans="1:18" x14ac:dyDescent="0.25">
      <c r="A97" s="135" t="s">
        <v>125</v>
      </c>
      <c r="B97" s="355">
        <v>55.69</v>
      </c>
      <c r="C97" s="334">
        <v>49.31</v>
      </c>
      <c r="D97" s="334">
        <v>188.16</v>
      </c>
      <c r="E97" s="334">
        <v>73.28</v>
      </c>
      <c r="F97" s="334">
        <v>95.84</v>
      </c>
      <c r="G97" s="334">
        <v>21.43</v>
      </c>
      <c r="H97" s="334">
        <v>83.19</v>
      </c>
      <c r="I97" s="334">
        <v>0</v>
      </c>
      <c r="J97" s="334">
        <v>2230.1</v>
      </c>
      <c r="K97" s="334">
        <v>2252.17</v>
      </c>
      <c r="L97" s="334">
        <v>0</v>
      </c>
      <c r="M97" s="334">
        <v>0</v>
      </c>
      <c r="N97" s="334">
        <v>0</v>
      </c>
      <c r="O97" s="334">
        <v>0</v>
      </c>
      <c r="P97" s="334">
        <v>0</v>
      </c>
      <c r="Q97" s="334">
        <v>0</v>
      </c>
      <c r="R97" s="339">
        <v>0</v>
      </c>
    </row>
    <row r="98" spans="1:18" x14ac:dyDescent="0.25">
      <c r="A98" s="135" t="s">
        <v>126</v>
      </c>
      <c r="B98" s="355">
        <v>67.55</v>
      </c>
      <c r="C98" s="334">
        <v>39.729999999999997</v>
      </c>
      <c r="D98" s="334">
        <v>182.35</v>
      </c>
      <c r="E98" s="334">
        <v>88.2</v>
      </c>
      <c r="F98" s="334">
        <v>98.85</v>
      </c>
      <c r="G98" s="334">
        <v>0</v>
      </c>
      <c r="H98" s="334">
        <v>0</v>
      </c>
      <c r="I98" s="334">
        <v>1822.27</v>
      </c>
      <c r="J98" s="334">
        <v>2206.44</v>
      </c>
      <c r="K98" s="334">
        <v>2263.17</v>
      </c>
      <c r="L98" s="334">
        <v>0</v>
      </c>
      <c r="M98" s="334">
        <v>0</v>
      </c>
      <c r="N98" s="334">
        <v>0</v>
      </c>
      <c r="O98" s="334">
        <v>0</v>
      </c>
      <c r="P98" s="334">
        <v>0</v>
      </c>
      <c r="Q98" s="334">
        <v>0</v>
      </c>
      <c r="R98" s="339">
        <v>0</v>
      </c>
    </row>
    <row r="99" spans="1:18" x14ac:dyDescent="0.25">
      <c r="A99" s="135" t="s">
        <v>127</v>
      </c>
      <c r="B99" s="355">
        <v>65.28</v>
      </c>
      <c r="C99" s="334">
        <v>37.369999999999997</v>
      </c>
      <c r="D99" s="334">
        <v>148.06</v>
      </c>
      <c r="E99" s="334">
        <v>77.97</v>
      </c>
      <c r="F99" s="334">
        <v>96.27</v>
      </c>
      <c r="G99" s="334">
        <v>21.43</v>
      </c>
      <c r="H99" s="334">
        <v>83.19</v>
      </c>
      <c r="I99" s="334">
        <v>1904.16</v>
      </c>
      <c r="J99" s="334">
        <v>2164.85</v>
      </c>
      <c r="K99" s="334">
        <v>2252.17</v>
      </c>
      <c r="L99" s="334">
        <v>0</v>
      </c>
      <c r="M99" s="334">
        <v>0</v>
      </c>
      <c r="N99" s="334">
        <v>0</v>
      </c>
      <c r="O99" s="334">
        <v>0</v>
      </c>
      <c r="P99" s="334">
        <v>0</v>
      </c>
      <c r="Q99" s="334">
        <v>0</v>
      </c>
      <c r="R99" s="339">
        <v>0</v>
      </c>
    </row>
    <row r="100" spans="1:18" x14ac:dyDescent="0.25">
      <c r="A100" s="135" t="s">
        <v>128</v>
      </c>
      <c r="B100" s="355">
        <v>50.77</v>
      </c>
      <c r="C100" s="334">
        <v>64.849999999999994</v>
      </c>
      <c r="D100" s="334">
        <v>221.33</v>
      </c>
      <c r="E100" s="334">
        <v>73.28</v>
      </c>
      <c r="F100" s="334">
        <v>75.98</v>
      </c>
      <c r="G100" s="334">
        <v>0</v>
      </c>
      <c r="H100" s="334">
        <v>0</v>
      </c>
      <c r="I100" s="334">
        <v>0</v>
      </c>
      <c r="J100" s="334">
        <v>0</v>
      </c>
      <c r="K100" s="334">
        <v>0</v>
      </c>
      <c r="L100" s="334">
        <v>0</v>
      </c>
      <c r="M100" s="334">
        <v>0</v>
      </c>
      <c r="N100" s="334">
        <v>0</v>
      </c>
      <c r="O100" s="334">
        <v>0</v>
      </c>
      <c r="P100" s="334">
        <v>0</v>
      </c>
      <c r="Q100" s="334">
        <v>0</v>
      </c>
      <c r="R100" s="339">
        <v>0</v>
      </c>
    </row>
    <row r="101" spans="1:18" x14ac:dyDescent="0.25">
      <c r="A101" s="135" t="s">
        <v>129</v>
      </c>
      <c r="B101" s="355">
        <v>52.66</v>
      </c>
      <c r="C101" s="334">
        <v>57.67</v>
      </c>
      <c r="D101" s="334">
        <v>212.34</v>
      </c>
      <c r="E101" s="334">
        <v>73.28</v>
      </c>
      <c r="F101" s="334">
        <v>79.819999999999993</v>
      </c>
      <c r="G101" s="334">
        <v>0</v>
      </c>
      <c r="H101" s="334">
        <v>0</v>
      </c>
      <c r="I101" s="334">
        <v>0</v>
      </c>
      <c r="J101" s="334">
        <v>0</v>
      </c>
      <c r="K101" s="334">
        <v>0</v>
      </c>
      <c r="L101" s="334">
        <v>0</v>
      </c>
      <c r="M101" s="334">
        <v>0</v>
      </c>
      <c r="N101" s="334">
        <v>0</v>
      </c>
      <c r="O101" s="334">
        <v>0</v>
      </c>
      <c r="P101" s="334">
        <v>0</v>
      </c>
      <c r="Q101" s="334">
        <v>0</v>
      </c>
      <c r="R101" s="339">
        <v>0</v>
      </c>
    </row>
    <row r="102" spans="1:18" x14ac:dyDescent="0.25">
      <c r="A102" s="135" t="s">
        <v>130</v>
      </c>
      <c r="B102" s="355">
        <v>36.5</v>
      </c>
      <c r="C102" s="334">
        <v>51.72</v>
      </c>
      <c r="D102" s="334">
        <v>195.45</v>
      </c>
      <c r="E102" s="334">
        <v>68.95</v>
      </c>
      <c r="F102" s="334">
        <v>61.59</v>
      </c>
      <c r="G102" s="334">
        <v>0</v>
      </c>
      <c r="H102" s="334">
        <v>0</v>
      </c>
      <c r="I102" s="334">
        <v>0</v>
      </c>
      <c r="J102" s="334">
        <v>0</v>
      </c>
      <c r="K102" s="334">
        <v>0</v>
      </c>
      <c r="L102" s="334">
        <v>0</v>
      </c>
      <c r="M102" s="334">
        <v>0</v>
      </c>
      <c r="N102" s="334">
        <v>0</v>
      </c>
      <c r="O102" s="334">
        <v>0</v>
      </c>
      <c r="P102" s="334">
        <v>0</v>
      </c>
      <c r="Q102" s="334">
        <v>0</v>
      </c>
      <c r="R102" s="339">
        <v>0</v>
      </c>
    </row>
    <row r="103" spans="1:18" x14ac:dyDescent="0.25">
      <c r="A103" s="135" t="s">
        <v>131</v>
      </c>
      <c r="B103" s="355">
        <v>40</v>
      </c>
      <c r="C103" s="334">
        <v>41.02</v>
      </c>
      <c r="D103" s="334">
        <v>156.44</v>
      </c>
      <c r="E103" s="334">
        <v>70.45</v>
      </c>
      <c r="F103" s="334">
        <v>52.14</v>
      </c>
      <c r="G103" s="334">
        <v>0</v>
      </c>
      <c r="H103" s="334">
        <v>83.19</v>
      </c>
      <c r="I103" s="334">
        <v>1707.22</v>
      </c>
      <c r="J103" s="334">
        <v>0</v>
      </c>
      <c r="K103" s="334">
        <v>0</v>
      </c>
      <c r="L103" s="334">
        <v>0</v>
      </c>
      <c r="M103" s="334">
        <v>0</v>
      </c>
      <c r="N103" s="334">
        <v>0</v>
      </c>
      <c r="O103" s="334">
        <v>0</v>
      </c>
      <c r="P103" s="334">
        <v>0</v>
      </c>
      <c r="Q103" s="334">
        <v>0</v>
      </c>
      <c r="R103" s="339">
        <v>0</v>
      </c>
    </row>
    <row r="104" spans="1:18" x14ac:dyDescent="0.25">
      <c r="A104" s="135" t="s">
        <v>132</v>
      </c>
      <c r="B104" s="355">
        <v>33.07</v>
      </c>
      <c r="C104" s="334">
        <v>42.49</v>
      </c>
      <c r="D104" s="334">
        <v>160.58000000000001</v>
      </c>
      <c r="E104" s="334">
        <v>72.3</v>
      </c>
      <c r="F104" s="334">
        <v>43.97</v>
      </c>
      <c r="G104" s="334">
        <v>0</v>
      </c>
      <c r="H104" s="334">
        <v>83.19</v>
      </c>
      <c r="I104" s="334">
        <v>1708.05</v>
      </c>
      <c r="J104" s="334">
        <v>2194.83</v>
      </c>
      <c r="K104" s="334">
        <v>0</v>
      </c>
      <c r="L104" s="334">
        <v>0</v>
      </c>
      <c r="M104" s="334">
        <v>0</v>
      </c>
      <c r="N104" s="334">
        <v>0</v>
      </c>
      <c r="O104" s="334">
        <v>0</v>
      </c>
      <c r="P104" s="334">
        <v>0</v>
      </c>
      <c r="Q104" s="334">
        <v>0</v>
      </c>
      <c r="R104" s="339">
        <v>0</v>
      </c>
    </row>
    <row r="105" spans="1:18" x14ac:dyDescent="0.25">
      <c r="A105" s="135" t="s">
        <v>133</v>
      </c>
      <c r="B105" s="355">
        <v>50.6</v>
      </c>
      <c r="C105" s="334">
        <v>62.24</v>
      </c>
      <c r="D105" s="334">
        <v>222.76</v>
      </c>
      <c r="E105" s="334">
        <v>73.28</v>
      </c>
      <c r="F105" s="334">
        <v>85.35</v>
      </c>
      <c r="G105" s="334">
        <v>0</v>
      </c>
      <c r="H105" s="334">
        <v>0</v>
      </c>
      <c r="I105" s="334">
        <v>0</v>
      </c>
      <c r="J105" s="334">
        <v>0</v>
      </c>
      <c r="K105" s="334">
        <v>0</v>
      </c>
      <c r="L105" s="334">
        <v>0</v>
      </c>
      <c r="M105" s="334">
        <v>0</v>
      </c>
      <c r="N105" s="334">
        <v>0</v>
      </c>
      <c r="O105" s="334">
        <v>0</v>
      </c>
      <c r="P105" s="334">
        <v>0</v>
      </c>
      <c r="Q105" s="334">
        <v>0</v>
      </c>
      <c r="R105" s="339">
        <v>0</v>
      </c>
    </row>
    <row r="106" spans="1:18" x14ac:dyDescent="0.25">
      <c r="A106" s="135" t="s">
        <v>134</v>
      </c>
      <c r="B106" s="355">
        <v>56.55</v>
      </c>
      <c r="C106" s="334">
        <v>53.86</v>
      </c>
      <c r="D106" s="334">
        <v>205.35</v>
      </c>
      <c r="E106" s="334">
        <v>73.28</v>
      </c>
      <c r="F106" s="334">
        <v>95.16</v>
      </c>
      <c r="G106" s="334">
        <v>0</v>
      </c>
      <c r="H106" s="334">
        <v>83.19</v>
      </c>
      <c r="I106" s="334">
        <v>0</v>
      </c>
      <c r="J106" s="334">
        <v>0</v>
      </c>
      <c r="K106" s="334">
        <v>0</v>
      </c>
      <c r="L106" s="334">
        <v>0</v>
      </c>
      <c r="M106" s="334">
        <v>0</v>
      </c>
      <c r="N106" s="334">
        <v>0</v>
      </c>
      <c r="O106" s="334">
        <v>0</v>
      </c>
      <c r="P106" s="334">
        <v>0</v>
      </c>
      <c r="Q106" s="334">
        <v>0</v>
      </c>
      <c r="R106" s="339">
        <v>0</v>
      </c>
    </row>
    <row r="107" spans="1:18" x14ac:dyDescent="0.25">
      <c r="A107" s="135" t="s">
        <v>135</v>
      </c>
      <c r="B107" s="355">
        <v>54.79</v>
      </c>
      <c r="C107" s="334">
        <v>62.6</v>
      </c>
      <c r="D107" s="334">
        <v>216.31</v>
      </c>
      <c r="E107" s="334">
        <v>73.28</v>
      </c>
      <c r="F107" s="334">
        <v>77.569999999999993</v>
      </c>
      <c r="G107" s="334">
        <v>0</v>
      </c>
      <c r="H107" s="334">
        <v>0</v>
      </c>
      <c r="I107" s="334">
        <v>0</v>
      </c>
      <c r="J107" s="334">
        <v>0</v>
      </c>
      <c r="K107" s="334">
        <v>0</v>
      </c>
      <c r="L107" s="334">
        <v>0</v>
      </c>
      <c r="M107" s="334">
        <v>0</v>
      </c>
      <c r="N107" s="334">
        <v>0</v>
      </c>
      <c r="O107" s="334">
        <v>0</v>
      </c>
      <c r="P107" s="334">
        <v>0</v>
      </c>
      <c r="Q107" s="334">
        <v>0</v>
      </c>
      <c r="R107" s="339">
        <v>0</v>
      </c>
    </row>
    <row r="108" spans="1:18" x14ac:dyDescent="0.25">
      <c r="A108" s="135" t="s">
        <v>136</v>
      </c>
      <c r="B108" s="355">
        <v>62.73</v>
      </c>
      <c r="C108" s="334">
        <v>56.5</v>
      </c>
      <c r="D108" s="334">
        <v>206.1</v>
      </c>
      <c r="E108" s="334">
        <v>73.28</v>
      </c>
      <c r="F108" s="334">
        <v>93.44</v>
      </c>
      <c r="G108" s="334">
        <v>0</v>
      </c>
      <c r="H108" s="334">
        <v>83.19</v>
      </c>
      <c r="I108" s="334">
        <v>0</v>
      </c>
      <c r="J108" s="334">
        <v>0</v>
      </c>
      <c r="K108" s="334">
        <v>2252.17</v>
      </c>
      <c r="L108" s="334">
        <v>0</v>
      </c>
      <c r="M108" s="334">
        <v>0</v>
      </c>
      <c r="N108" s="334">
        <v>0</v>
      </c>
      <c r="O108" s="334">
        <v>0</v>
      </c>
      <c r="P108" s="334">
        <v>0</v>
      </c>
      <c r="Q108" s="334">
        <v>0</v>
      </c>
      <c r="R108" s="339">
        <v>0</v>
      </c>
    </row>
    <row r="109" spans="1:18" x14ac:dyDescent="0.25">
      <c r="A109" s="135" t="s">
        <v>137</v>
      </c>
      <c r="B109" s="355">
        <v>68.44</v>
      </c>
      <c r="C109" s="334">
        <v>39.4</v>
      </c>
      <c r="D109" s="334">
        <v>173.84</v>
      </c>
      <c r="E109" s="334">
        <v>79.19</v>
      </c>
      <c r="F109" s="334">
        <v>72.739999999999995</v>
      </c>
      <c r="G109" s="334">
        <v>21.43</v>
      </c>
      <c r="H109" s="334">
        <v>0</v>
      </c>
      <c r="I109" s="334">
        <v>0</v>
      </c>
      <c r="J109" s="334">
        <v>2344.2199999999998</v>
      </c>
      <c r="K109" s="334">
        <v>0</v>
      </c>
      <c r="L109" s="334">
        <v>0</v>
      </c>
      <c r="M109" s="334">
        <v>0</v>
      </c>
      <c r="N109" s="334">
        <v>0</v>
      </c>
      <c r="O109" s="334">
        <v>0</v>
      </c>
      <c r="P109" s="334">
        <v>0</v>
      </c>
      <c r="Q109" s="334">
        <v>0</v>
      </c>
      <c r="R109" s="339">
        <v>0</v>
      </c>
    </row>
    <row r="110" spans="1:18" x14ac:dyDescent="0.25">
      <c r="A110" s="135" t="s">
        <v>138</v>
      </c>
      <c r="B110" s="355">
        <v>57.81</v>
      </c>
      <c r="C110" s="334">
        <v>0</v>
      </c>
      <c r="D110" s="334">
        <v>120.43</v>
      </c>
      <c r="E110" s="334">
        <v>73.680000000000007</v>
      </c>
      <c r="F110" s="334">
        <v>74.040000000000006</v>
      </c>
      <c r="G110" s="334">
        <v>0</v>
      </c>
      <c r="H110" s="334">
        <v>0</v>
      </c>
      <c r="I110" s="334">
        <v>0</v>
      </c>
      <c r="J110" s="334">
        <v>2217.1</v>
      </c>
      <c r="K110" s="334">
        <v>0</v>
      </c>
      <c r="L110" s="334">
        <v>0</v>
      </c>
      <c r="M110" s="334">
        <v>0</v>
      </c>
      <c r="N110" s="334">
        <v>0</v>
      </c>
      <c r="O110" s="334">
        <v>0</v>
      </c>
      <c r="P110" s="334">
        <v>0</v>
      </c>
      <c r="Q110" s="334">
        <v>0</v>
      </c>
      <c r="R110" s="339">
        <v>0</v>
      </c>
    </row>
    <row r="111" spans="1:18" x14ac:dyDescent="0.25">
      <c r="A111" s="135" t="s">
        <v>139</v>
      </c>
      <c r="B111" s="355">
        <v>49.9</v>
      </c>
      <c r="C111" s="334">
        <v>61.63</v>
      </c>
      <c r="D111" s="334">
        <v>221.74</v>
      </c>
      <c r="E111" s="334">
        <v>73.28</v>
      </c>
      <c r="F111" s="334">
        <v>80.41</v>
      </c>
      <c r="G111" s="334">
        <v>0</v>
      </c>
      <c r="H111" s="334">
        <v>0</v>
      </c>
      <c r="I111" s="334">
        <v>0</v>
      </c>
      <c r="J111" s="334">
        <v>0</v>
      </c>
      <c r="K111" s="334">
        <v>0</v>
      </c>
      <c r="L111" s="334">
        <v>0</v>
      </c>
      <c r="M111" s="334">
        <v>0</v>
      </c>
      <c r="N111" s="334">
        <v>0</v>
      </c>
      <c r="O111" s="334">
        <v>0</v>
      </c>
      <c r="P111" s="334">
        <v>0</v>
      </c>
      <c r="Q111" s="334">
        <v>0</v>
      </c>
      <c r="R111" s="339">
        <v>0</v>
      </c>
    </row>
    <row r="112" spans="1:18" x14ac:dyDescent="0.25">
      <c r="A112" s="135" t="s">
        <v>140</v>
      </c>
      <c r="B112" s="355">
        <v>55.39</v>
      </c>
      <c r="C112" s="334">
        <v>34.93</v>
      </c>
      <c r="D112" s="334">
        <v>144.76</v>
      </c>
      <c r="E112" s="334">
        <v>68.14</v>
      </c>
      <c r="F112" s="334">
        <v>84.75</v>
      </c>
      <c r="G112" s="334">
        <v>21.43</v>
      </c>
      <c r="H112" s="334">
        <v>83.19</v>
      </c>
      <c r="I112" s="334">
        <v>1690.74</v>
      </c>
      <c r="J112" s="334">
        <v>2422.21</v>
      </c>
      <c r="K112" s="334">
        <v>0</v>
      </c>
      <c r="L112" s="334">
        <v>0</v>
      </c>
      <c r="M112" s="334">
        <v>0</v>
      </c>
      <c r="N112" s="334">
        <v>0</v>
      </c>
      <c r="O112" s="334">
        <v>0</v>
      </c>
      <c r="P112" s="334">
        <v>0</v>
      </c>
      <c r="Q112" s="334">
        <v>0</v>
      </c>
      <c r="R112" s="339">
        <v>0</v>
      </c>
    </row>
    <row r="113" spans="1:18" x14ac:dyDescent="0.25">
      <c r="A113" s="135" t="s">
        <v>141</v>
      </c>
      <c r="B113" s="355">
        <v>46</v>
      </c>
      <c r="C113" s="334">
        <v>39.78</v>
      </c>
      <c r="D113" s="334">
        <v>159.18</v>
      </c>
      <c r="E113" s="334">
        <v>70.75</v>
      </c>
      <c r="F113" s="334">
        <v>43.73</v>
      </c>
      <c r="G113" s="334">
        <v>0</v>
      </c>
      <c r="H113" s="334">
        <v>83.19</v>
      </c>
      <c r="I113" s="334">
        <v>0</v>
      </c>
      <c r="J113" s="334">
        <v>0</v>
      </c>
      <c r="K113" s="334">
        <v>0</v>
      </c>
      <c r="L113" s="334">
        <v>0</v>
      </c>
      <c r="M113" s="334">
        <v>0</v>
      </c>
      <c r="N113" s="334">
        <v>0</v>
      </c>
      <c r="O113" s="334">
        <v>0</v>
      </c>
      <c r="P113" s="334">
        <v>0</v>
      </c>
      <c r="Q113" s="334">
        <v>0</v>
      </c>
      <c r="R113" s="339">
        <v>0</v>
      </c>
    </row>
    <row r="114" spans="1:18" x14ac:dyDescent="0.25">
      <c r="A114" s="135" t="s">
        <v>142</v>
      </c>
      <c r="B114" s="355">
        <v>53.99</v>
      </c>
      <c r="C114" s="334">
        <v>49.3</v>
      </c>
      <c r="D114" s="334">
        <v>186.75</v>
      </c>
      <c r="E114" s="334">
        <v>73.28</v>
      </c>
      <c r="F114" s="334">
        <v>90.72</v>
      </c>
      <c r="G114" s="334">
        <v>0</v>
      </c>
      <c r="H114" s="334">
        <v>83.19</v>
      </c>
      <c r="I114" s="334">
        <v>0</v>
      </c>
      <c r="J114" s="334">
        <v>0</v>
      </c>
      <c r="K114" s="334">
        <v>0</v>
      </c>
      <c r="L114" s="334">
        <v>0</v>
      </c>
      <c r="M114" s="334">
        <v>0</v>
      </c>
      <c r="N114" s="334">
        <v>0</v>
      </c>
      <c r="O114" s="334">
        <v>0</v>
      </c>
      <c r="P114" s="334">
        <v>0</v>
      </c>
      <c r="Q114" s="334">
        <v>0</v>
      </c>
      <c r="R114" s="339">
        <v>0</v>
      </c>
    </row>
    <row r="115" spans="1:18" x14ac:dyDescent="0.25">
      <c r="A115" s="135" t="s">
        <v>143</v>
      </c>
      <c r="B115" s="355">
        <v>45.83</v>
      </c>
      <c r="C115" s="334">
        <v>46.35</v>
      </c>
      <c r="D115" s="334">
        <v>188.8</v>
      </c>
      <c r="E115" s="334">
        <v>64.7</v>
      </c>
      <c r="F115" s="334">
        <v>54.77</v>
      </c>
      <c r="G115" s="334">
        <v>0</v>
      </c>
      <c r="H115" s="334">
        <v>83.19</v>
      </c>
      <c r="I115" s="334">
        <v>1791.05</v>
      </c>
      <c r="J115" s="334">
        <v>0</v>
      </c>
      <c r="K115" s="334">
        <v>0</v>
      </c>
      <c r="L115" s="334">
        <v>0</v>
      </c>
      <c r="M115" s="334">
        <v>0</v>
      </c>
      <c r="N115" s="334">
        <v>0</v>
      </c>
      <c r="O115" s="334">
        <v>0</v>
      </c>
      <c r="P115" s="334">
        <v>0</v>
      </c>
      <c r="Q115" s="334">
        <v>0</v>
      </c>
      <c r="R115" s="339">
        <v>0</v>
      </c>
    </row>
    <row r="116" spans="1:18" x14ac:dyDescent="0.25">
      <c r="A116" s="135" t="s">
        <v>144</v>
      </c>
      <c r="B116" s="355">
        <v>62.69</v>
      </c>
      <c r="C116" s="334">
        <v>39.06</v>
      </c>
      <c r="D116" s="334">
        <v>0</v>
      </c>
      <c r="E116" s="334">
        <v>78.34</v>
      </c>
      <c r="F116" s="334">
        <v>104.14</v>
      </c>
      <c r="G116" s="334">
        <v>21.43</v>
      </c>
      <c r="H116" s="334">
        <v>0</v>
      </c>
      <c r="I116" s="334">
        <v>1819.93</v>
      </c>
      <c r="J116" s="334">
        <v>2093.1799999999998</v>
      </c>
      <c r="K116" s="334">
        <v>2252.17</v>
      </c>
      <c r="L116" s="334">
        <v>0</v>
      </c>
      <c r="M116" s="334">
        <v>0</v>
      </c>
      <c r="N116" s="334">
        <v>0</v>
      </c>
      <c r="O116" s="334">
        <v>0</v>
      </c>
      <c r="P116" s="334">
        <v>0</v>
      </c>
      <c r="Q116" s="334">
        <v>0</v>
      </c>
      <c r="R116" s="339">
        <v>0</v>
      </c>
    </row>
    <row r="117" spans="1:18" x14ac:dyDescent="0.25">
      <c r="A117" s="135" t="s">
        <v>145</v>
      </c>
      <c r="B117" s="355">
        <v>58.68</v>
      </c>
      <c r="C117" s="334">
        <v>52.19</v>
      </c>
      <c r="D117" s="334">
        <v>193.39</v>
      </c>
      <c r="E117" s="334">
        <v>73.28</v>
      </c>
      <c r="F117" s="334">
        <v>88.52</v>
      </c>
      <c r="G117" s="334">
        <v>0</v>
      </c>
      <c r="H117" s="334">
        <v>83.19</v>
      </c>
      <c r="I117" s="334">
        <v>1708.05</v>
      </c>
      <c r="J117" s="334">
        <v>2230.1</v>
      </c>
      <c r="K117" s="334">
        <v>0</v>
      </c>
      <c r="L117" s="334">
        <v>0</v>
      </c>
      <c r="M117" s="334">
        <v>0</v>
      </c>
      <c r="N117" s="334">
        <v>0</v>
      </c>
      <c r="O117" s="334">
        <v>0</v>
      </c>
      <c r="P117" s="334">
        <v>0</v>
      </c>
      <c r="Q117" s="334">
        <v>0</v>
      </c>
      <c r="R117" s="339">
        <v>0</v>
      </c>
    </row>
    <row r="118" spans="1:18" x14ac:dyDescent="0.25">
      <c r="A118" s="135" t="s">
        <v>146</v>
      </c>
      <c r="B118" s="355">
        <v>56.2</v>
      </c>
      <c r="C118" s="334">
        <v>56.65</v>
      </c>
      <c r="D118" s="334">
        <v>208.68</v>
      </c>
      <c r="E118" s="334">
        <v>70.319999999999993</v>
      </c>
      <c r="F118" s="334">
        <v>80.28</v>
      </c>
      <c r="G118" s="334">
        <v>0</v>
      </c>
      <c r="H118" s="334">
        <v>83.19</v>
      </c>
      <c r="I118" s="334">
        <v>0</v>
      </c>
      <c r="J118" s="334">
        <v>2194.83</v>
      </c>
      <c r="K118" s="334">
        <v>0</v>
      </c>
      <c r="L118" s="334">
        <v>0</v>
      </c>
      <c r="M118" s="334">
        <v>0</v>
      </c>
      <c r="N118" s="334">
        <v>0</v>
      </c>
      <c r="O118" s="334">
        <v>0</v>
      </c>
      <c r="P118" s="334">
        <v>0</v>
      </c>
      <c r="Q118" s="334">
        <v>0</v>
      </c>
      <c r="R118" s="339">
        <v>0</v>
      </c>
    </row>
    <row r="119" spans="1:18" x14ac:dyDescent="0.25">
      <c r="A119" s="135" t="s">
        <v>147</v>
      </c>
      <c r="B119" s="355">
        <v>45.24</v>
      </c>
      <c r="C119" s="334">
        <v>58.27</v>
      </c>
      <c r="D119" s="334">
        <v>209.27</v>
      </c>
      <c r="E119" s="334">
        <v>73.28</v>
      </c>
      <c r="F119" s="334">
        <v>74.400000000000006</v>
      </c>
      <c r="G119" s="334">
        <v>0</v>
      </c>
      <c r="H119" s="334">
        <v>0</v>
      </c>
      <c r="I119" s="334">
        <v>0</v>
      </c>
      <c r="J119" s="334">
        <v>0</v>
      </c>
      <c r="K119" s="334">
        <v>0</v>
      </c>
      <c r="L119" s="334">
        <v>0</v>
      </c>
      <c r="M119" s="334">
        <v>0</v>
      </c>
      <c r="N119" s="334">
        <v>0</v>
      </c>
      <c r="O119" s="334">
        <v>0</v>
      </c>
      <c r="P119" s="334">
        <v>0</v>
      </c>
      <c r="Q119" s="334">
        <v>0</v>
      </c>
      <c r="R119" s="339">
        <v>0</v>
      </c>
    </row>
    <row r="120" spans="1:18" x14ac:dyDescent="0.25">
      <c r="A120" s="135" t="s">
        <v>148</v>
      </c>
      <c r="B120" s="355">
        <v>52.97</v>
      </c>
      <c r="C120" s="334">
        <v>61.18</v>
      </c>
      <c r="D120" s="334">
        <v>214.34</v>
      </c>
      <c r="E120" s="334">
        <v>73.28</v>
      </c>
      <c r="F120" s="334">
        <v>108.9</v>
      </c>
      <c r="G120" s="334">
        <v>0</v>
      </c>
      <c r="H120" s="334">
        <v>0</v>
      </c>
      <c r="I120" s="334">
        <v>0</v>
      </c>
      <c r="J120" s="334">
        <v>0</v>
      </c>
      <c r="K120" s="334">
        <v>0</v>
      </c>
      <c r="L120" s="334">
        <v>0</v>
      </c>
      <c r="M120" s="334">
        <v>0</v>
      </c>
      <c r="N120" s="334">
        <v>0</v>
      </c>
      <c r="O120" s="334">
        <v>0</v>
      </c>
      <c r="P120" s="334">
        <v>0</v>
      </c>
      <c r="Q120" s="334">
        <v>0</v>
      </c>
      <c r="R120" s="339">
        <v>0</v>
      </c>
    </row>
    <row r="121" spans="1:18" x14ac:dyDescent="0.25">
      <c r="A121" s="135" t="s">
        <v>149</v>
      </c>
      <c r="B121" s="355">
        <v>62.05</v>
      </c>
      <c r="C121" s="334">
        <v>36.270000000000003</v>
      </c>
      <c r="D121" s="334">
        <v>143.24</v>
      </c>
      <c r="E121" s="334">
        <v>69.84</v>
      </c>
      <c r="F121" s="334">
        <v>86.79</v>
      </c>
      <c r="G121" s="334">
        <v>22.32</v>
      </c>
      <c r="H121" s="334">
        <v>0</v>
      </c>
      <c r="I121" s="334">
        <v>2015.97</v>
      </c>
      <c r="J121" s="334">
        <v>2224.54</v>
      </c>
      <c r="K121" s="334">
        <v>0</v>
      </c>
      <c r="L121" s="334">
        <v>0</v>
      </c>
      <c r="M121" s="334">
        <v>0</v>
      </c>
      <c r="N121" s="334">
        <v>0</v>
      </c>
      <c r="O121" s="334">
        <v>0</v>
      </c>
      <c r="P121" s="334">
        <v>0</v>
      </c>
      <c r="Q121" s="334">
        <v>0</v>
      </c>
      <c r="R121" s="339">
        <v>0</v>
      </c>
    </row>
    <row r="122" spans="1:18" x14ac:dyDescent="0.25">
      <c r="A122" s="135" t="s">
        <v>150</v>
      </c>
      <c r="B122" s="355">
        <v>40.369999999999997</v>
      </c>
      <c r="C122" s="334">
        <v>57.6</v>
      </c>
      <c r="D122" s="334">
        <v>196.24</v>
      </c>
      <c r="E122" s="334">
        <v>73.28</v>
      </c>
      <c r="F122" s="334">
        <v>62.99</v>
      </c>
      <c r="G122" s="334">
        <v>0</v>
      </c>
      <c r="H122" s="334">
        <v>83.19</v>
      </c>
      <c r="I122" s="334">
        <v>0</v>
      </c>
      <c r="J122" s="334">
        <v>0</v>
      </c>
      <c r="K122" s="334">
        <v>0</v>
      </c>
      <c r="L122" s="334">
        <v>0</v>
      </c>
      <c r="M122" s="334">
        <v>0</v>
      </c>
      <c r="N122" s="334">
        <v>0</v>
      </c>
      <c r="O122" s="334">
        <v>0</v>
      </c>
      <c r="P122" s="334">
        <v>0</v>
      </c>
      <c r="Q122" s="334">
        <v>0</v>
      </c>
      <c r="R122" s="339">
        <v>0</v>
      </c>
    </row>
    <row r="123" spans="1:18" x14ac:dyDescent="0.25">
      <c r="A123" s="135" t="s">
        <v>151</v>
      </c>
      <c r="B123" s="355">
        <v>42.43</v>
      </c>
      <c r="C123" s="334">
        <v>26.45</v>
      </c>
      <c r="D123" s="334">
        <v>106.73</v>
      </c>
      <c r="E123" s="334">
        <v>67.52</v>
      </c>
      <c r="F123" s="334">
        <v>55.53</v>
      </c>
      <c r="G123" s="334">
        <v>0</v>
      </c>
      <c r="H123" s="334">
        <v>0</v>
      </c>
      <c r="I123" s="334">
        <v>0</v>
      </c>
      <c r="J123" s="334">
        <v>0</v>
      </c>
      <c r="K123" s="334">
        <v>0</v>
      </c>
      <c r="L123" s="334">
        <v>0</v>
      </c>
      <c r="M123" s="334">
        <v>0</v>
      </c>
      <c r="N123" s="334">
        <v>0</v>
      </c>
      <c r="O123" s="334">
        <v>0</v>
      </c>
      <c r="P123" s="334">
        <v>0</v>
      </c>
      <c r="Q123" s="334">
        <v>0</v>
      </c>
      <c r="R123" s="339">
        <v>0</v>
      </c>
    </row>
    <row r="124" spans="1:18" x14ac:dyDescent="0.25">
      <c r="A124" s="135" t="s">
        <v>152</v>
      </c>
      <c r="B124" s="355">
        <v>62.11</v>
      </c>
      <c r="C124" s="334">
        <v>57.97</v>
      </c>
      <c r="D124" s="334">
        <v>208.19</v>
      </c>
      <c r="E124" s="334">
        <v>73.28</v>
      </c>
      <c r="F124" s="334">
        <v>66.67</v>
      </c>
      <c r="G124" s="334">
        <v>0</v>
      </c>
      <c r="H124" s="334">
        <v>83.19</v>
      </c>
      <c r="I124" s="334">
        <v>0</v>
      </c>
      <c r="J124" s="334">
        <v>0</v>
      </c>
      <c r="K124" s="334">
        <v>0</v>
      </c>
      <c r="L124" s="334">
        <v>0</v>
      </c>
      <c r="M124" s="334">
        <v>0</v>
      </c>
      <c r="N124" s="334">
        <v>0</v>
      </c>
      <c r="O124" s="334">
        <v>0</v>
      </c>
      <c r="P124" s="334">
        <v>0</v>
      </c>
      <c r="Q124" s="334">
        <v>0</v>
      </c>
      <c r="R124" s="339">
        <v>0</v>
      </c>
    </row>
    <row r="125" spans="1:18" x14ac:dyDescent="0.25">
      <c r="A125" s="135" t="s">
        <v>153</v>
      </c>
      <c r="B125" s="355">
        <v>57.81</v>
      </c>
      <c r="C125" s="334">
        <v>0</v>
      </c>
      <c r="D125" s="334">
        <v>120.43</v>
      </c>
      <c r="E125" s="334">
        <v>73.680000000000007</v>
      </c>
      <c r="F125" s="334">
        <v>74.040000000000006</v>
      </c>
      <c r="G125" s="334">
        <v>0</v>
      </c>
      <c r="H125" s="334">
        <v>0</v>
      </c>
      <c r="I125" s="334">
        <v>0</v>
      </c>
      <c r="J125" s="334">
        <v>0</v>
      </c>
      <c r="K125" s="334">
        <v>0</v>
      </c>
      <c r="L125" s="334">
        <v>0</v>
      </c>
      <c r="M125" s="334">
        <v>0</v>
      </c>
      <c r="N125" s="334">
        <v>0</v>
      </c>
      <c r="O125" s="334">
        <v>0</v>
      </c>
      <c r="P125" s="334">
        <v>0</v>
      </c>
      <c r="Q125" s="334">
        <v>0</v>
      </c>
      <c r="R125" s="339">
        <v>0</v>
      </c>
    </row>
    <row r="126" spans="1:18" x14ac:dyDescent="0.25">
      <c r="A126" s="135" t="s">
        <v>154</v>
      </c>
      <c r="B126" s="355">
        <v>37.56</v>
      </c>
      <c r="C126" s="334">
        <v>49.34</v>
      </c>
      <c r="D126" s="334">
        <v>178.3</v>
      </c>
      <c r="E126" s="334">
        <v>69.77</v>
      </c>
      <c r="F126" s="334">
        <v>57.87</v>
      </c>
      <c r="G126" s="334">
        <v>21.43</v>
      </c>
      <c r="H126" s="334">
        <v>83.19</v>
      </c>
      <c r="I126" s="334">
        <v>0</v>
      </c>
      <c r="J126" s="334">
        <v>2194.83</v>
      </c>
      <c r="K126" s="334">
        <v>0</v>
      </c>
      <c r="L126" s="334">
        <v>0</v>
      </c>
      <c r="M126" s="334">
        <v>0</v>
      </c>
      <c r="N126" s="334">
        <v>0</v>
      </c>
      <c r="O126" s="334">
        <v>0</v>
      </c>
      <c r="P126" s="334">
        <v>0</v>
      </c>
      <c r="Q126" s="334">
        <v>0</v>
      </c>
      <c r="R126" s="339">
        <v>0</v>
      </c>
    </row>
    <row r="127" spans="1:18" x14ac:dyDescent="0.25">
      <c r="A127" s="135" t="s">
        <v>155</v>
      </c>
      <c r="B127" s="355">
        <v>47.9</v>
      </c>
      <c r="C127" s="334">
        <v>62.46</v>
      </c>
      <c r="D127" s="334">
        <v>0</v>
      </c>
      <c r="E127" s="334">
        <v>73.28</v>
      </c>
      <c r="F127" s="334">
        <v>85.18</v>
      </c>
      <c r="G127" s="334">
        <v>0</v>
      </c>
      <c r="H127" s="334">
        <v>0</v>
      </c>
      <c r="I127" s="334">
        <v>0</v>
      </c>
      <c r="J127" s="334">
        <v>0</v>
      </c>
      <c r="K127" s="334">
        <v>0</v>
      </c>
      <c r="L127" s="334">
        <v>0</v>
      </c>
      <c r="M127" s="334">
        <v>0</v>
      </c>
      <c r="N127" s="334">
        <v>0</v>
      </c>
      <c r="O127" s="334">
        <v>0</v>
      </c>
      <c r="P127" s="334">
        <v>0</v>
      </c>
      <c r="Q127" s="334">
        <v>0</v>
      </c>
      <c r="R127" s="339">
        <v>0</v>
      </c>
    </row>
    <row r="128" spans="1:18" x14ac:dyDescent="0.25">
      <c r="A128" s="135" t="s">
        <v>156</v>
      </c>
      <c r="B128" s="355">
        <v>60.89</v>
      </c>
      <c r="C128" s="334">
        <v>50.98</v>
      </c>
      <c r="D128" s="334">
        <v>194.77</v>
      </c>
      <c r="E128" s="334">
        <v>62.56</v>
      </c>
      <c r="F128" s="334">
        <v>62.16</v>
      </c>
      <c r="G128" s="334">
        <v>21.43</v>
      </c>
      <c r="H128" s="334">
        <v>83.19</v>
      </c>
      <c r="I128" s="334">
        <v>0</v>
      </c>
      <c r="J128" s="334">
        <v>2218.77</v>
      </c>
      <c r="K128" s="334">
        <v>0</v>
      </c>
      <c r="L128" s="334">
        <v>0</v>
      </c>
      <c r="M128" s="334">
        <v>0</v>
      </c>
      <c r="N128" s="334">
        <v>0</v>
      </c>
      <c r="O128" s="334">
        <v>0</v>
      </c>
      <c r="P128" s="334">
        <v>0</v>
      </c>
      <c r="Q128" s="334">
        <v>0</v>
      </c>
      <c r="R128" s="339">
        <v>0</v>
      </c>
    </row>
    <row r="129" spans="1:18" x14ac:dyDescent="0.25">
      <c r="A129" s="135" t="s">
        <v>157</v>
      </c>
      <c r="B129" s="355">
        <v>54.88</v>
      </c>
      <c r="C129" s="334">
        <v>50.02</v>
      </c>
      <c r="D129" s="334">
        <v>202.75</v>
      </c>
      <c r="E129" s="334">
        <v>68.33</v>
      </c>
      <c r="F129" s="334">
        <v>86.51</v>
      </c>
      <c r="G129" s="334">
        <v>0</v>
      </c>
      <c r="H129" s="334">
        <v>0</v>
      </c>
      <c r="I129" s="334">
        <v>0</v>
      </c>
      <c r="J129" s="334">
        <v>2221.1</v>
      </c>
      <c r="K129" s="334">
        <v>0</v>
      </c>
      <c r="L129" s="334">
        <v>0</v>
      </c>
      <c r="M129" s="334">
        <v>0</v>
      </c>
      <c r="N129" s="334">
        <v>0</v>
      </c>
      <c r="O129" s="334">
        <v>0</v>
      </c>
      <c r="P129" s="334">
        <v>0</v>
      </c>
      <c r="Q129" s="334">
        <v>0</v>
      </c>
      <c r="R129" s="339">
        <v>0</v>
      </c>
    </row>
    <row r="130" spans="1:18" x14ac:dyDescent="0.25">
      <c r="A130" s="135" t="s">
        <v>158</v>
      </c>
      <c r="B130" s="355">
        <v>35.659999999999997</v>
      </c>
      <c r="C130" s="334">
        <v>40.57</v>
      </c>
      <c r="D130" s="334">
        <v>150.13</v>
      </c>
      <c r="E130" s="334">
        <v>67.08</v>
      </c>
      <c r="F130" s="334">
        <v>46.17</v>
      </c>
      <c r="G130" s="334">
        <v>21.43</v>
      </c>
      <c r="H130" s="334">
        <v>83.19</v>
      </c>
      <c r="I130" s="334">
        <v>0</v>
      </c>
      <c r="J130" s="334">
        <v>2194.83</v>
      </c>
      <c r="K130" s="334">
        <v>0</v>
      </c>
      <c r="L130" s="334">
        <v>0</v>
      </c>
      <c r="M130" s="334">
        <v>0</v>
      </c>
      <c r="N130" s="334">
        <v>0</v>
      </c>
      <c r="O130" s="334">
        <v>0</v>
      </c>
      <c r="P130" s="334">
        <v>0</v>
      </c>
      <c r="Q130" s="334">
        <v>0</v>
      </c>
      <c r="R130" s="339">
        <v>0</v>
      </c>
    </row>
    <row r="131" spans="1:18" x14ac:dyDescent="0.25">
      <c r="A131" s="135" t="s">
        <v>159</v>
      </c>
      <c r="B131" s="355">
        <v>48.9</v>
      </c>
      <c r="C131" s="334">
        <v>45.37</v>
      </c>
      <c r="D131" s="334">
        <v>184.31</v>
      </c>
      <c r="E131" s="334">
        <v>68.53</v>
      </c>
      <c r="F131" s="334">
        <v>63.33</v>
      </c>
      <c r="G131" s="334">
        <v>0</v>
      </c>
      <c r="H131" s="334">
        <v>0</v>
      </c>
      <c r="I131" s="334">
        <v>0</v>
      </c>
      <c r="J131" s="334">
        <v>2267.2199999999998</v>
      </c>
      <c r="K131" s="334">
        <v>0</v>
      </c>
      <c r="L131" s="334">
        <v>0</v>
      </c>
      <c r="M131" s="334">
        <v>0</v>
      </c>
      <c r="N131" s="334">
        <v>0</v>
      </c>
      <c r="O131" s="334">
        <v>0</v>
      </c>
      <c r="P131" s="334">
        <v>0</v>
      </c>
      <c r="Q131" s="334">
        <v>0</v>
      </c>
      <c r="R131" s="339">
        <v>0</v>
      </c>
    </row>
    <row r="132" spans="1:18" x14ac:dyDescent="0.25">
      <c r="A132" s="135" t="s">
        <v>160</v>
      </c>
      <c r="B132" s="355">
        <v>49.1</v>
      </c>
      <c r="C132" s="334">
        <v>62.02</v>
      </c>
      <c r="D132" s="334">
        <v>218.44</v>
      </c>
      <c r="E132" s="334">
        <v>74.53</v>
      </c>
      <c r="F132" s="334">
        <v>87.09</v>
      </c>
      <c r="G132" s="334">
        <v>0</v>
      </c>
      <c r="H132" s="334">
        <v>0</v>
      </c>
      <c r="I132" s="334">
        <v>0</v>
      </c>
      <c r="J132" s="334">
        <v>0</v>
      </c>
      <c r="K132" s="334">
        <v>0</v>
      </c>
      <c r="L132" s="334">
        <v>0</v>
      </c>
      <c r="M132" s="334">
        <v>0</v>
      </c>
      <c r="N132" s="334">
        <v>0</v>
      </c>
      <c r="O132" s="334">
        <v>0</v>
      </c>
      <c r="P132" s="334">
        <v>0</v>
      </c>
      <c r="Q132" s="334">
        <v>0</v>
      </c>
      <c r="R132" s="339">
        <v>0</v>
      </c>
    </row>
    <row r="133" spans="1:18" x14ac:dyDescent="0.25">
      <c r="A133" s="135" t="s">
        <v>161</v>
      </c>
      <c r="B133" s="355">
        <v>48.21</v>
      </c>
      <c r="C133" s="334">
        <v>25.53</v>
      </c>
      <c r="D133" s="334">
        <v>108.48</v>
      </c>
      <c r="E133" s="334">
        <v>72.66</v>
      </c>
      <c r="F133" s="334">
        <v>44.75</v>
      </c>
      <c r="G133" s="334">
        <v>0</v>
      </c>
      <c r="H133" s="334">
        <v>0</v>
      </c>
      <c r="I133" s="334">
        <v>0</v>
      </c>
      <c r="J133" s="334">
        <v>1346.24</v>
      </c>
      <c r="K133" s="334">
        <v>2252.17</v>
      </c>
      <c r="L133" s="334">
        <v>0</v>
      </c>
      <c r="M133" s="334">
        <v>0</v>
      </c>
      <c r="N133" s="334">
        <v>0</v>
      </c>
      <c r="O133" s="334">
        <v>0</v>
      </c>
      <c r="P133" s="334">
        <v>0</v>
      </c>
      <c r="Q133" s="334">
        <v>0</v>
      </c>
      <c r="R133" s="339">
        <v>0</v>
      </c>
    </row>
    <row r="134" spans="1:18" x14ac:dyDescent="0.25">
      <c r="A134" s="135" t="s">
        <v>162</v>
      </c>
      <c r="B134" s="355">
        <v>47.73</v>
      </c>
      <c r="C134" s="334">
        <v>66.52</v>
      </c>
      <c r="D134" s="334">
        <v>222.83</v>
      </c>
      <c r="E134" s="334">
        <v>73.28</v>
      </c>
      <c r="F134" s="334">
        <v>71.34</v>
      </c>
      <c r="G134" s="334">
        <v>0</v>
      </c>
      <c r="H134" s="334">
        <v>0</v>
      </c>
      <c r="I134" s="334">
        <v>0</v>
      </c>
      <c r="J134" s="334">
        <v>0</v>
      </c>
      <c r="K134" s="334">
        <v>0</v>
      </c>
      <c r="L134" s="334">
        <v>0</v>
      </c>
      <c r="M134" s="334">
        <v>0</v>
      </c>
      <c r="N134" s="334">
        <v>0</v>
      </c>
      <c r="O134" s="334">
        <v>0</v>
      </c>
      <c r="P134" s="334">
        <v>0</v>
      </c>
      <c r="Q134" s="334">
        <v>0</v>
      </c>
      <c r="R134" s="339">
        <v>0</v>
      </c>
    </row>
    <row r="135" spans="1:18" x14ac:dyDescent="0.25">
      <c r="A135" s="135" t="s">
        <v>163</v>
      </c>
      <c r="B135" s="355">
        <v>54.42</v>
      </c>
      <c r="C135" s="334">
        <v>53.54</v>
      </c>
      <c r="D135" s="334">
        <v>189.37</v>
      </c>
      <c r="E135" s="334">
        <v>73.28</v>
      </c>
      <c r="F135" s="334">
        <v>53.45</v>
      </c>
      <c r="G135" s="334">
        <v>0</v>
      </c>
      <c r="H135" s="334">
        <v>83.19</v>
      </c>
      <c r="I135" s="334">
        <v>0</v>
      </c>
      <c r="J135" s="334">
        <v>2194.83</v>
      </c>
      <c r="K135" s="334">
        <v>0</v>
      </c>
      <c r="L135" s="334">
        <v>0</v>
      </c>
      <c r="M135" s="334">
        <v>0</v>
      </c>
      <c r="N135" s="334">
        <v>0</v>
      </c>
      <c r="O135" s="334">
        <v>0</v>
      </c>
      <c r="P135" s="334">
        <v>0</v>
      </c>
      <c r="Q135" s="334">
        <v>0</v>
      </c>
      <c r="R135" s="339">
        <v>0</v>
      </c>
    </row>
    <row r="136" spans="1:18" x14ac:dyDescent="0.25">
      <c r="A136" s="135" t="s">
        <v>164</v>
      </c>
      <c r="B136" s="355">
        <v>41.88</v>
      </c>
      <c r="C136" s="334">
        <v>63.21</v>
      </c>
      <c r="D136" s="334">
        <v>220.91</v>
      </c>
      <c r="E136" s="334">
        <v>73.28</v>
      </c>
      <c r="F136" s="334">
        <v>75.13</v>
      </c>
      <c r="G136" s="334">
        <v>0</v>
      </c>
      <c r="H136" s="334">
        <v>83.19</v>
      </c>
      <c r="I136" s="334">
        <v>0</v>
      </c>
      <c r="J136" s="334">
        <v>0</v>
      </c>
      <c r="K136" s="334">
        <v>0</v>
      </c>
      <c r="L136" s="334">
        <v>0</v>
      </c>
      <c r="M136" s="334">
        <v>0</v>
      </c>
      <c r="N136" s="334">
        <v>0</v>
      </c>
      <c r="O136" s="334">
        <v>0</v>
      </c>
      <c r="P136" s="334">
        <v>0</v>
      </c>
      <c r="Q136" s="334">
        <v>0</v>
      </c>
      <c r="R136" s="339">
        <v>0</v>
      </c>
    </row>
    <row r="137" spans="1:18" x14ac:dyDescent="0.25">
      <c r="A137" s="135" t="s">
        <v>165</v>
      </c>
      <c r="B137" s="355">
        <v>48.65</v>
      </c>
      <c r="C137" s="334">
        <v>40.97</v>
      </c>
      <c r="D137" s="334">
        <v>169.56</v>
      </c>
      <c r="E137" s="334">
        <v>59.36</v>
      </c>
      <c r="F137" s="334">
        <v>52.09</v>
      </c>
      <c r="G137" s="334">
        <v>21.43</v>
      </c>
      <c r="H137" s="334">
        <v>83.19</v>
      </c>
      <c r="I137" s="334">
        <v>0</v>
      </c>
      <c r="J137" s="334">
        <v>2232.5</v>
      </c>
      <c r="K137" s="334">
        <v>0</v>
      </c>
      <c r="L137" s="334">
        <v>0</v>
      </c>
      <c r="M137" s="334">
        <v>0</v>
      </c>
      <c r="N137" s="334">
        <v>0</v>
      </c>
      <c r="O137" s="334">
        <v>0</v>
      </c>
      <c r="P137" s="334">
        <v>0</v>
      </c>
      <c r="Q137" s="334">
        <v>0</v>
      </c>
      <c r="R137" s="339">
        <v>0</v>
      </c>
    </row>
    <row r="138" spans="1:18" x14ac:dyDescent="0.25">
      <c r="A138" s="135" t="s">
        <v>166</v>
      </c>
      <c r="B138" s="355">
        <v>69.7</v>
      </c>
      <c r="C138" s="334">
        <v>42.1</v>
      </c>
      <c r="D138" s="334">
        <v>168.12</v>
      </c>
      <c r="E138" s="334">
        <v>72.69</v>
      </c>
      <c r="F138" s="334">
        <v>85.6</v>
      </c>
      <c r="G138" s="334">
        <v>0</v>
      </c>
      <c r="H138" s="334">
        <v>83.19</v>
      </c>
      <c r="I138" s="334">
        <v>1811.7</v>
      </c>
      <c r="J138" s="334">
        <v>2319</v>
      </c>
      <c r="K138" s="334">
        <v>2252.17</v>
      </c>
      <c r="L138" s="334">
        <v>0</v>
      </c>
      <c r="M138" s="334">
        <v>0</v>
      </c>
      <c r="N138" s="334">
        <v>0</v>
      </c>
      <c r="O138" s="334">
        <v>0</v>
      </c>
      <c r="P138" s="334">
        <v>0</v>
      </c>
      <c r="Q138" s="334">
        <v>0</v>
      </c>
      <c r="R138" s="339">
        <v>1711.24</v>
      </c>
    </row>
    <row r="139" spans="1:18" x14ac:dyDescent="0.25">
      <c r="A139" s="135" t="s">
        <v>167</v>
      </c>
      <c r="B139" s="355">
        <v>57.46</v>
      </c>
      <c r="C139" s="334">
        <v>37.33</v>
      </c>
      <c r="D139" s="334">
        <v>173.9</v>
      </c>
      <c r="E139" s="334">
        <v>66.11</v>
      </c>
      <c r="F139" s="334">
        <v>63.62</v>
      </c>
      <c r="G139" s="334">
        <v>0</v>
      </c>
      <c r="H139" s="334">
        <v>83.19</v>
      </c>
      <c r="I139" s="334">
        <v>1708.05</v>
      </c>
      <c r="J139" s="334">
        <v>2436.29</v>
      </c>
      <c r="K139" s="334">
        <v>0</v>
      </c>
      <c r="L139" s="334">
        <v>0</v>
      </c>
      <c r="M139" s="334">
        <v>0</v>
      </c>
      <c r="N139" s="334">
        <v>0</v>
      </c>
      <c r="O139" s="334">
        <v>0</v>
      </c>
      <c r="P139" s="334">
        <v>0</v>
      </c>
      <c r="Q139" s="334">
        <v>0</v>
      </c>
      <c r="R139" s="339">
        <v>0</v>
      </c>
    </row>
    <row r="140" spans="1:18" x14ac:dyDescent="0.25">
      <c r="A140" s="135" t="s">
        <v>168</v>
      </c>
      <c r="B140" s="355">
        <v>44.03</v>
      </c>
      <c r="C140" s="334">
        <v>63.25</v>
      </c>
      <c r="D140" s="334">
        <v>216.43</v>
      </c>
      <c r="E140" s="334">
        <v>73.28</v>
      </c>
      <c r="F140" s="334">
        <v>77.650000000000006</v>
      </c>
      <c r="G140" s="334">
        <v>0</v>
      </c>
      <c r="H140" s="334">
        <v>83.19</v>
      </c>
      <c r="I140" s="334">
        <v>0</v>
      </c>
      <c r="J140" s="334">
        <v>0</v>
      </c>
      <c r="K140" s="334">
        <v>0</v>
      </c>
      <c r="L140" s="334">
        <v>0</v>
      </c>
      <c r="M140" s="334">
        <v>0</v>
      </c>
      <c r="N140" s="334">
        <v>0</v>
      </c>
      <c r="O140" s="334">
        <v>0</v>
      </c>
      <c r="P140" s="334">
        <v>0</v>
      </c>
      <c r="Q140" s="334">
        <v>0</v>
      </c>
      <c r="R140" s="339">
        <v>0</v>
      </c>
    </row>
    <row r="141" spans="1:18" x14ac:dyDescent="0.25">
      <c r="A141" s="135" t="s">
        <v>169</v>
      </c>
      <c r="B141" s="355">
        <v>37.75</v>
      </c>
      <c r="C141" s="334">
        <v>53.43</v>
      </c>
      <c r="D141" s="334">
        <v>185.15</v>
      </c>
      <c r="E141" s="334">
        <v>67.58</v>
      </c>
      <c r="F141" s="334">
        <v>59.92</v>
      </c>
      <c r="G141" s="334">
        <v>0</v>
      </c>
      <c r="H141" s="334">
        <v>83.19</v>
      </c>
      <c r="I141" s="334">
        <v>0</v>
      </c>
      <c r="J141" s="334">
        <v>2194.83</v>
      </c>
      <c r="K141" s="334">
        <v>0</v>
      </c>
      <c r="L141" s="334">
        <v>0</v>
      </c>
      <c r="M141" s="334">
        <v>0</v>
      </c>
      <c r="N141" s="334">
        <v>0</v>
      </c>
      <c r="O141" s="334">
        <v>0</v>
      </c>
      <c r="P141" s="334">
        <v>0</v>
      </c>
      <c r="Q141" s="334">
        <v>0</v>
      </c>
      <c r="R141" s="339">
        <v>0</v>
      </c>
    </row>
    <row r="142" spans="1:18" ht="15.75" thickBot="1" x14ac:dyDescent="0.3">
      <c r="A142" s="136" t="s">
        <v>170</v>
      </c>
      <c r="B142" s="356">
        <v>51.38</v>
      </c>
      <c r="C142" s="336">
        <v>52.31</v>
      </c>
      <c r="D142" s="336">
        <v>191.96</v>
      </c>
      <c r="E142" s="336">
        <v>69.27</v>
      </c>
      <c r="F142" s="336">
        <v>75.19</v>
      </c>
      <c r="G142" s="336">
        <v>0</v>
      </c>
      <c r="H142" s="346">
        <v>0</v>
      </c>
      <c r="I142" s="336">
        <v>0</v>
      </c>
      <c r="J142" s="336">
        <v>2194.83</v>
      </c>
      <c r="K142" s="336">
        <v>2252.17</v>
      </c>
      <c r="L142" s="336">
        <v>0</v>
      </c>
      <c r="M142" s="336">
        <v>0</v>
      </c>
      <c r="N142" s="336">
        <v>0</v>
      </c>
      <c r="O142" s="336">
        <v>0</v>
      </c>
      <c r="P142" s="336">
        <v>0</v>
      </c>
      <c r="Q142" s="336">
        <v>0</v>
      </c>
      <c r="R142" s="340">
        <v>0</v>
      </c>
    </row>
    <row r="143" spans="1:18" x14ac:dyDescent="0.25">
      <c r="A143" s="235" t="s">
        <v>253</v>
      </c>
      <c r="B143" s="357">
        <v>110.44</v>
      </c>
      <c r="C143" s="335">
        <v>0</v>
      </c>
      <c r="D143" s="335">
        <v>0</v>
      </c>
      <c r="E143" s="335">
        <v>94.58</v>
      </c>
      <c r="F143" s="335">
        <v>0</v>
      </c>
      <c r="G143" s="335">
        <v>0</v>
      </c>
      <c r="H143" s="350">
        <v>0</v>
      </c>
      <c r="I143" s="335">
        <v>0</v>
      </c>
      <c r="J143" s="335">
        <v>0</v>
      </c>
      <c r="K143" s="335">
        <v>0</v>
      </c>
      <c r="L143" s="335">
        <v>0</v>
      </c>
      <c r="M143" s="335">
        <v>0</v>
      </c>
      <c r="N143" s="335">
        <v>0</v>
      </c>
      <c r="O143" s="337">
        <v>0</v>
      </c>
      <c r="P143" s="337">
        <v>0</v>
      </c>
      <c r="Q143" s="335">
        <v>0</v>
      </c>
      <c r="R143" s="341">
        <v>0</v>
      </c>
    </row>
    <row r="144" spans="1:18" x14ac:dyDescent="0.25">
      <c r="A144" s="236" t="s">
        <v>254</v>
      </c>
      <c r="B144" s="358">
        <v>47.22</v>
      </c>
      <c r="C144" s="334">
        <v>0</v>
      </c>
      <c r="D144" s="334">
        <v>93.69</v>
      </c>
      <c r="E144" s="334">
        <v>53.26</v>
      </c>
      <c r="F144" s="334">
        <v>50.53</v>
      </c>
      <c r="G144" s="334">
        <v>0</v>
      </c>
      <c r="H144" s="334">
        <v>29</v>
      </c>
      <c r="I144" s="334">
        <v>0</v>
      </c>
      <c r="J144" s="334">
        <v>1520.62</v>
      </c>
      <c r="K144" s="334">
        <v>1919.48</v>
      </c>
      <c r="L144" s="334">
        <v>845.21</v>
      </c>
      <c r="M144" s="334">
        <v>659.36</v>
      </c>
      <c r="N144" s="334">
        <v>0</v>
      </c>
      <c r="O144" s="334">
        <v>0</v>
      </c>
      <c r="P144" s="334">
        <v>0</v>
      </c>
      <c r="Q144" s="334">
        <v>0</v>
      </c>
      <c r="R144" s="339">
        <v>0</v>
      </c>
    </row>
    <row r="145" spans="1:18" x14ac:dyDescent="0.25">
      <c r="A145" s="236" t="s">
        <v>255</v>
      </c>
      <c r="B145" s="358">
        <v>26.61</v>
      </c>
      <c r="C145" s="334">
        <v>0</v>
      </c>
      <c r="D145" s="334">
        <v>169.62</v>
      </c>
      <c r="E145" s="334">
        <v>30.33</v>
      </c>
      <c r="F145" s="334">
        <v>34.14</v>
      </c>
      <c r="G145" s="334">
        <v>8.91</v>
      </c>
      <c r="H145" s="334">
        <v>0</v>
      </c>
      <c r="I145" s="334">
        <v>0</v>
      </c>
      <c r="J145" s="334">
        <v>1520.62</v>
      </c>
      <c r="K145" s="334">
        <v>1091.01</v>
      </c>
      <c r="L145" s="334">
        <v>770.67</v>
      </c>
      <c r="M145" s="334">
        <v>775.06</v>
      </c>
      <c r="N145" s="334">
        <v>543.36</v>
      </c>
      <c r="O145" s="334">
        <v>0</v>
      </c>
      <c r="P145" s="334">
        <v>0</v>
      </c>
      <c r="Q145" s="334">
        <v>903.17</v>
      </c>
      <c r="R145" s="339">
        <v>0</v>
      </c>
    </row>
    <row r="146" spans="1:18" x14ac:dyDescent="0.25">
      <c r="A146" s="236" t="s">
        <v>256</v>
      </c>
      <c r="B146" s="358">
        <v>27.6</v>
      </c>
      <c r="C146" s="334">
        <v>0</v>
      </c>
      <c r="D146" s="334">
        <v>0</v>
      </c>
      <c r="E146" s="334">
        <v>58.47</v>
      </c>
      <c r="F146" s="334">
        <v>0</v>
      </c>
      <c r="G146" s="334">
        <v>0</v>
      </c>
      <c r="H146" s="334">
        <v>0</v>
      </c>
      <c r="I146" s="334">
        <v>993.89</v>
      </c>
      <c r="J146" s="334">
        <v>0</v>
      </c>
      <c r="K146" s="334">
        <v>0</v>
      </c>
      <c r="L146" s="334">
        <v>0</v>
      </c>
      <c r="M146" s="334">
        <v>0</v>
      </c>
      <c r="N146" s="334">
        <v>0</v>
      </c>
      <c r="O146" s="334">
        <v>0</v>
      </c>
      <c r="P146" s="334">
        <v>0</v>
      </c>
      <c r="Q146" s="334">
        <v>0</v>
      </c>
      <c r="R146" s="339">
        <v>0</v>
      </c>
    </row>
    <row r="147" spans="1:18" x14ac:dyDescent="0.25">
      <c r="A147" s="236" t="s">
        <v>257</v>
      </c>
      <c r="B147" s="358">
        <v>37.020000000000003</v>
      </c>
      <c r="C147" s="334">
        <v>0</v>
      </c>
      <c r="D147" s="334">
        <v>180.11</v>
      </c>
      <c r="E147" s="334">
        <v>118.29</v>
      </c>
      <c r="F147" s="334">
        <v>60.13</v>
      </c>
      <c r="G147" s="334">
        <v>0</v>
      </c>
      <c r="H147" s="334">
        <v>0</v>
      </c>
      <c r="I147" s="334">
        <v>968.57</v>
      </c>
      <c r="J147" s="334">
        <v>0</v>
      </c>
      <c r="K147" s="334">
        <v>0</v>
      </c>
      <c r="L147" s="334">
        <v>0</v>
      </c>
      <c r="M147" s="334">
        <v>0</v>
      </c>
      <c r="N147" s="334">
        <v>0</v>
      </c>
      <c r="O147" s="334">
        <v>0</v>
      </c>
      <c r="P147" s="334">
        <v>0</v>
      </c>
      <c r="Q147" s="334">
        <v>0</v>
      </c>
      <c r="R147" s="339">
        <v>0</v>
      </c>
    </row>
    <row r="148" spans="1:18" x14ac:dyDescent="0.25">
      <c r="A148" s="236" t="s">
        <v>258</v>
      </c>
      <c r="B148" s="358">
        <v>24.7</v>
      </c>
      <c r="C148" s="334">
        <v>0</v>
      </c>
      <c r="D148" s="334">
        <v>147.66999999999999</v>
      </c>
      <c r="E148" s="334">
        <v>31.76</v>
      </c>
      <c r="F148" s="334">
        <v>38.92</v>
      </c>
      <c r="G148" s="334">
        <v>0</v>
      </c>
      <c r="H148" s="334">
        <v>27.33</v>
      </c>
      <c r="I148" s="334">
        <v>1025.73</v>
      </c>
      <c r="J148" s="334">
        <v>1520.62</v>
      </c>
      <c r="K148" s="334">
        <v>1213.0899999999999</v>
      </c>
      <c r="L148" s="334">
        <v>1148.56</v>
      </c>
      <c r="M148" s="334">
        <v>788.89</v>
      </c>
      <c r="N148" s="334">
        <v>0</v>
      </c>
      <c r="O148" s="334">
        <v>0</v>
      </c>
      <c r="P148" s="334">
        <v>0</v>
      </c>
      <c r="Q148" s="334">
        <v>1156.31</v>
      </c>
      <c r="R148" s="339">
        <v>0</v>
      </c>
    </row>
    <row r="149" spans="1:18" x14ac:dyDescent="0.25">
      <c r="A149" s="236" t="s">
        <v>259</v>
      </c>
      <c r="B149" s="358">
        <v>44.78</v>
      </c>
      <c r="C149" s="334">
        <v>0</v>
      </c>
      <c r="D149" s="334">
        <v>169.62</v>
      </c>
      <c r="E149" s="334">
        <v>43.4</v>
      </c>
      <c r="F149" s="334">
        <v>35.32</v>
      </c>
      <c r="G149" s="334">
        <v>0</v>
      </c>
      <c r="H149" s="334">
        <v>0</v>
      </c>
      <c r="I149" s="334">
        <v>1146.33</v>
      </c>
      <c r="J149" s="334">
        <v>0</v>
      </c>
      <c r="K149" s="334">
        <v>1520.46</v>
      </c>
      <c r="L149" s="334">
        <v>795.91</v>
      </c>
      <c r="M149" s="334">
        <v>0</v>
      </c>
      <c r="N149" s="334">
        <v>0</v>
      </c>
      <c r="O149" s="334">
        <v>0</v>
      </c>
      <c r="P149" s="334">
        <v>0</v>
      </c>
      <c r="Q149" s="334">
        <v>1117.47</v>
      </c>
      <c r="R149" s="339">
        <v>0</v>
      </c>
    </row>
    <row r="150" spans="1:18" x14ac:dyDescent="0.25">
      <c r="A150" s="236" t="s">
        <v>260</v>
      </c>
      <c r="B150" s="358">
        <v>84.06</v>
      </c>
      <c r="C150" s="334">
        <v>0</v>
      </c>
      <c r="D150" s="334">
        <v>169.62</v>
      </c>
      <c r="E150" s="334">
        <v>87.08</v>
      </c>
      <c r="F150" s="334">
        <v>62.09</v>
      </c>
      <c r="G150" s="334">
        <v>24.54</v>
      </c>
      <c r="H150" s="334">
        <v>0</v>
      </c>
      <c r="I150" s="334">
        <v>1970.2199999999998</v>
      </c>
      <c r="J150" s="334">
        <v>1520.62</v>
      </c>
      <c r="K150" s="334">
        <v>2985.1400000000003</v>
      </c>
      <c r="L150" s="334">
        <v>1911.47</v>
      </c>
      <c r="M150" s="334">
        <v>1648.88</v>
      </c>
      <c r="N150" s="334">
        <v>587.73</v>
      </c>
      <c r="O150" s="334">
        <v>0</v>
      </c>
      <c r="P150" s="334">
        <v>0</v>
      </c>
      <c r="Q150" s="334">
        <v>2358.2200000000003</v>
      </c>
      <c r="R150" s="339">
        <v>1029.26</v>
      </c>
    </row>
    <row r="151" spans="1:18" x14ac:dyDescent="0.25">
      <c r="A151" s="236" t="s">
        <v>261</v>
      </c>
      <c r="B151" s="358">
        <v>31.57</v>
      </c>
      <c r="C151" s="334">
        <v>33.58</v>
      </c>
      <c r="D151" s="334">
        <v>184.32</v>
      </c>
      <c r="E151" s="334">
        <v>0</v>
      </c>
      <c r="F151" s="334">
        <v>47.52</v>
      </c>
      <c r="G151" s="334">
        <v>0</v>
      </c>
      <c r="H151" s="334">
        <v>28.14</v>
      </c>
      <c r="I151" s="334">
        <v>0</v>
      </c>
      <c r="J151" s="334">
        <v>0</v>
      </c>
      <c r="K151" s="334">
        <v>1475.56</v>
      </c>
      <c r="L151" s="334">
        <v>0</v>
      </c>
      <c r="M151" s="334">
        <v>0</v>
      </c>
      <c r="N151" s="334">
        <v>0</v>
      </c>
      <c r="O151" s="334">
        <v>0</v>
      </c>
      <c r="P151" s="334">
        <v>0</v>
      </c>
      <c r="Q151" s="334">
        <v>0</v>
      </c>
      <c r="R151" s="339">
        <v>0</v>
      </c>
    </row>
    <row r="152" spans="1:18" x14ac:dyDescent="0.25">
      <c r="A152" s="236" t="s">
        <v>262</v>
      </c>
      <c r="B152" s="358">
        <v>27.3</v>
      </c>
      <c r="C152" s="334">
        <v>0</v>
      </c>
      <c r="D152" s="334">
        <v>161.96</v>
      </c>
      <c r="E152" s="334">
        <v>39.11</v>
      </c>
      <c r="F152" s="334">
        <v>42.03</v>
      </c>
      <c r="G152" s="334">
        <v>13.94</v>
      </c>
      <c r="H152" s="334">
        <v>26.67</v>
      </c>
      <c r="I152" s="334">
        <v>1064.93</v>
      </c>
      <c r="J152" s="334">
        <v>0</v>
      </c>
      <c r="K152" s="334">
        <v>1647.66</v>
      </c>
      <c r="L152" s="334">
        <v>1038.3599999999999</v>
      </c>
      <c r="M152" s="334">
        <v>948.72</v>
      </c>
      <c r="N152" s="334">
        <v>522.66999999999996</v>
      </c>
      <c r="O152" s="334">
        <v>0</v>
      </c>
      <c r="P152" s="334">
        <v>0</v>
      </c>
      <c r="Q152" s="334">
        <v>1355.17</v>
      </c>
      <c r="R152" s="339">
        <v>1320.28</v>
      </c>
    </row>
    <row r="153" spans="1:18" x14ac:dyDescent="0.25">
      <c r="A153" s="236" t="s">
        <v>263</v>
      </c>
      <c r="B153" s="358">
        <v>33.909999999999997</v>
      </c>
      <c r="C153" s="334">
        <v>46.67</v>
      </c>
      <c r="D153" s="334">
        <v>0</v>
      </c>
      <c r="E153" s="334">
        <v>44.77</v>
      </c>
      <c r="F153" s="334">
        <v>30.62</v>
      </c>
      <c r="G153" s="334">
        <v>12.8</v>
      </c>
      <c r="H153" s="334">
        <v>27.33</v>
      </c>
      <c r="I153" s="334">
        <v>1180.49</v>
      </c>
      <c r="J153" s="334">
        <v>1601.63</v>
      </c>
      <c r="K153" s="334">
        <v>2015.52</v>
      </c>
      <c r="L153" s="334">
        <v>1434.59</v>
      </c>
      <c r="M153" s="334">
        <v>959.59</v>
      </c>
      <c r="N153" s="334">
        <v>559.20000000000005</v>
      </c>
      <c r="O153" s="334">
        <v>0</v>
      </c>
      <c r="P153" s="334">
        <v>0</v>
      </c>
      <c r="Q153" s="334">
        <v>1527.36</v>
      </c>
      <c r="R153" s="339">
        <v>1382.5</v>
      </c>
    </row>
    <row r="154" spans="1:18" x14ac:dyDescent="0.25">
      <c r="A154" s="236" t="s">
        <v>264</v>
      </c>
      <c r="B154" s="358">
        <v>28.84</v>
      </c>
      <c r="C154" s="334">
        <v>29.35</v>
      </c>
      <c r="D154" s="334">
        <v>112.71</v>
      </c>
      <c r="E154" s="334">
        <v>32.909999999999997</v>
      </c>
      <c r="F154" s="334">
        <v>42.07</v>
      </c>
      <c r="G154" s="334">
        <v>13.56</v>
      </c>
      <c r="H154" s="334">
        <v>0</v>
      </c>
      <c r="I154" s="334">
        <v>1113.42</v>
      </c>
      <c r="J154" s="334">
        <v>1539.9</v>
      </c>
      <c r="K154" s="334">
        <v>1213.0899999999999</v>
      </c>
      <c r="L154" s="334">
        <v>1148.56</v>
      </c>
      <c r="M154" s="334">
        <v>737.55</v>
      </c>
      <c r="N154" s="334">
        <v>0</v>
      </c>
      <c r="O154" s="334">
        <v>0</v>
      </c>
      <c r="P154" s="334">
        <v>0</v>
      </c>
      <c r="Q154" s="334">
        <v>1148.5999999999999</v>
      </c>
      <c r="R154" s="339">
        <v>995.51</v>
      </c>
    </row>
    <row r="155" spans="1:18" x14ac:dyDescent="0.25">
      <c r="A155" s="236" t="s">
        <v>265</v>
      </c>
      <c r="B155" s="358">
        <v>36.65</v>
      </c>
      <c r="C155" s="334">
        <v>33.58</v>
      </c>
      <c r="D155" s="334">
        <v>169.62</v>
      </c>
      <c r="E155" s="334">
        <v>44.08</v>
      </c>
      <c r="F155" s="334">
        <v>49.45</v>
      </c>
      <c r="G155" s="334">
        <v>0</v>
      </c>
      <c r="H155" s="351">
        <v>0</v>
      </c>
      <c r="I155" s="334">
        <v>747.21</v>
      </c>
      <c r="J155" s="334">
        <v>1520.62</v>
      </c>
      <c r="K155" s="334">
        <v>1678.42</v>
      </c>
      <c r="L155" s="334">
        <v>851.44</v>
      </c>
      <c r="M155" s="334">
        <v>775.06</v>
      </c>
      <c r="N155" s="334">
        <v>470.01</v>
      </c>
      <c r="O155" s="334">
        <v>0</v>
      </c>
      <c r="P155" s="334">
        <v>0</v>
      </c>
      <c r="Q155" s="334">
        <v>1188.4100000000001</v>
      </c>
      <c r="R155" s="339">
        <v>0</v>
      </c>
    </row>
    <row r="156" spans="1:18" x14ac:dyDescent="0.25">
      <c r="A156" s="236" t="s">
        <v>266</v>
      </c>
      <c r="B156" s="358">
        <v>78.489999999999995</v>
      </c>
      <c r="C156" s="334">
        <v>0</v>
      </c>
      <c r="D156" s="334">
        <v>0</v>
      </c>
      <c r="E156" s="334">
        <v>64.78</v>
      </c>
      <c r="F156" s="334">
        <v>55.85</v>
      </c>
      <c r="G156" s="334">
        <v>0</v>
      </c>
      <c r="H156" s="351">
        <v>0</v>
      </c>
      <c r="I156" s="334">
        <v>713.2</v>
      </c>
      <c r="J156" s="334">
        <v>0</v>
      </c>
      <c r="K156" s="334">
        <v>1815.64</v>
      </c>
      <c r="L156" s="334">
        <v>1248.53</v>
      </c>
      <c r="M156" s="334">
        <v>0</v>
      </c>
      <c r="N156" s="334">
        <v>0</v>
      </c>
      <c r="O156" s="334">
        <v>0</v>
      </c>
      <c r="P156" s="334">
        <v>0</v>
      </c>
      <c r="Q156" s="334">
        <v>0</v>
      </c>
      <c r="R156" s="339">
        <v>0</v>
      </c>
    </row>
    <row r="157" spans="1:18" x14ac:dyDescent="0.25">
      <c r="A157" s="236" t="s">
        <v>267</v>
      </c>
      <c r="B157" s="358">
        <v>52.8</v>
      </c>
      <c r="C157" s="334">
        <v>0</v>
      </c>
      <c r="D157" s="334">
        <v>165.56</v>
      </c>
      <c r="E157" s="334">
        <v>66.61</v>
      </c>
      <c r="F157" s="334">
        <v>40.1</v>
      </c>
      <c r="G157" s="334">
        <v>0</v>
      </c>
      <c r="H157" s="351">
        <v>0</v>
      </c>
      <c r="I157" s="334">
        <v>988.03</v>
      </c>
      <c r="J157" s="334">
        <v>0</v>
      </c>
      <c r="K157" s="334">
        <v>2329.92</v>
      </c>
      <c r="L157" s="334">
        <v>0</v>
      </c>
      <c r="M157" s="334">
        <v>0</v>
      </c>
      <c r="N157" s="334">
        <v>0</v>
      </c>
      <c r="O157" s="334">
        <v>0</v>
      </c>
      <c r="P157" s="334">
        <v>0</v>
      </c>
      <c r="Q157" s="334">
        <v>0</v>
      </c>
      <c r="R157" s="339">
        <v>1051.42</v>
      </c>
    </row>
    <row r="158" spans="1:18" x14ac:dyDescent="0.25">
      <c r="A158" s="236" t="s">
        <v>268</v>
      </c>
      <c r="B158" s="358">
        <v>25.25</v>
      </c>
      <c r="C158" s="334">
        <v>0</v>
      </c>
      <c r="D158" s="334">
        <v>167.33</v>
      </c>
      <c r="E158" s="334">
        <v>34.47</v>
      </c>
      <c r="F158" s="334">
        <v>35.26</v>
      </c>
      <c r="G158" s="334">
        <v>0</v>
      </c>
      <c r="H158" s="351">
        <v>0</v>
      </c>
      <c r="I158" s="334">
        <v>0</v>
      </c>
      <c r="J158" s="334">
        <v>0</v>
      </c>
      <c r="K158" s="334">
        <v>1209.68</v>
      </c>
      <c r="L158" s="334">
        <v>931.29</v>
      </c>
      <c r="M158" s="334">
        <v>0</v>
      </c>
      <c r="N158" s="334">
        <v>0</v>
      </c>
      <c r="O158" s="334">
        <v>0</v>
      </c>
      <c r="P158" s="334">
        <v>0</v>
      </c>
      <c r="Q158" s="334">
        <v>0</v>
      </c>
      <c r="R158" s="339">
        <v>0</v>
      </c>
    </row>
    <row r="159" spans="1:18" x14ac:dyDescent="0.25">
      <c r="A159" s="236" t="s">
        <v>269</v>
      </c>
      <c r="B159" s="358">
        <v>35.14</v>
      </c>
      <c r="C159" s="334">
        <v>0</v>
      </c>
      <c r="D159" s="334">
        <v>0</v>
      </c>
      <c r="E159" s="334">
        <v>42.13</v>
      </c>
      <c r="F159" s="334">
        <v>34.11</v>
      </c>
      <c r="G159" s="334">
        <v>0</v>
      </c>
      <c r="H159" s="351">
        <v>0</v>
      </c>
      <c r="I159" s="334">
        <v>1303.95</v>
      </c>
      <c r="J159" s="334">
        <v>0</v>
      </c>
      <c r="K159" s="334">
        <v>1213.77</v>
      </c>
      <c r="L159" s="334">
        <v>894.93</v>
      </c>
      <c r="M159" s="334">
        <v>0</v>
      </c>
      <c r="N159" s="334">
        <v>426.4</v>
      </c>
      <c r="O159" s="334">
        <v>0</v>
      </c>
      <c r="P159" s="334">
        <v>0</v>
      </c>
      <c r="Q159" s="334">
        <v>960.03</v>
      </c>
      <c r="R159" s="339">
        <v>944.53</v>
      </c>
    </row>
    <row r="160" spans="1:18" x14ac:dyDescent="0.25">
      <c r="A160" s="236" t="s">
        <v>270</v>
      </c>
      <c r="B160" s="358">
        <v>41.84</v>
      </c>
      <c r="C160" s="334">
        <v>0</v>
      </c>
      <c r="D160" s="334">
        <v>194.28</v>
      </c>
      <c r="E160" s="334">
        <v>42.8</v>
      </c>
      <c r="F160" s="334">
        <v>36.86</v>
      </c>
      <c r="G160" s="334">
        <v>15.2</v>
      </c>
      <c r="H160" s="351">
        <v>0</v>
      </c>
      <c r="I160" s="334">
        <v>922.57</v>
      </c>
      <c r="J160" s="334">
        <v>1520.62</v>
      </c>
      <c r="K160" s="334">
        <v>1776.54</v>
      </c>
      <c r="L160" s="334">
        <v>868.61</v>
      </c>
      <c r="M160" s="334">
        <v>0</v>
      </c>
      <c r="N160" s="334">
        <v>0</v>
      </c>
      <c r="O160" s="334">
        <v>0</v>
      </c>
      <c r="P160" s="334">
        <v>0</v>
      </c>
      <c r="Q160" s="334">
        <v>0</v>
      </c>
      <c r="R160" s="339">
        <v>0</v>
      </c>
    </row>
    <row r="161" spans="1:18" x14ac:dyDescent="0.25">
      <c r="A161" s="236" t="s">
        <v>271</v>
      </c>
      <c r="B161" s="358">
        <v>0</v>
      </c>
      <c r="C161" s="334">
        <v>0</v>
      </c>
      <c r="D161" s="334">
        <v>0</v>
      </c>
      <c r="E161" s="334">
        <v>0</v>
      </c>
      <c r="F161" s="334">
        <v>0</v>
      </c>
      <c r="G161" s="334">
        <v>0</v>
      </c>
      <c r="H161" s="351">
        <v>0</v>
      </c>
      <c r="I161" s="334">
        <v>0</v>
      </c>
      <c r="J161" s="334">
        <v>0</v>
      </c>
      <c r="K161" s="334">
        <v>0</v>
      </c>
      <c r="L161" s="334">
        <v>0</v>
      </c>
      <c r="M161" s="334">
        <v>0</v>
      </c>
      <c r="N161" s="334">
        <v>0</v>
      </c>
      <c r="O161" s="334">
        <v>0</v>
      </c>
      <c r="P161" s="334">
        <v>0</v>
      </c>
      <c r="Q161" s="334">
        <v>0</v>
      </c>
      <c r="R161" s="339">
        <v>0</v>
      </c>
    </row>
    <row r="162" spans="1:18" x14ac:dyDescent="0.25">
      <c r="A162" s="236" t="s">
        <v>272</v>
      </c>
      <c r="B162" s="358">
        <v>34.08</v>
      </c>
      <c r="C162" s="334">
        <v>0</v>
      </c>
      <c r="D162" s="334">
        <v>169.62</v>
      </c>
      <c r="E162" s="334">
        <v>35.99</v>
      </c>
      <c r="F162" s="334">
        <v>27.6</v>
      </c>
      <c r="G162" s="334">
        <v>11.39</v>
      </c>
      <c r="H162" s="334">
        <v>0</v>
      </c>
      <c r="I162" s="334">
        <v>958.04</v>
      </c>
      <c r="J162" s="334">
        <v>0</v>
      </c>
      <c r="K162" s="334">
        <v>1402.65</v>
      </c>
      <c r="L162" s="334">
        <v>964.03</v>
      </c>
      <c r="M162" s="334">
        <v>0</v>
      </c>
      <c r="N162" s="334">
        <v>576.1</v>
      </c>
      <c r="O162" s="334">
        <v>0</v>
      </c>
      <c r="P162" s="334">
        <v>0</v>
      </c>
      <c r="Q162" s="334">
        <v>1013.39</v>
      </c>
      <c r="R162" s="339">
        <v>1087.73</v>
      </c>
    </row>
    <row r="163" spans="1:18" x14ac:dyDescent="0.25">
      <c r="A163" s="236" t="s">
        <v>273</v>
      </c>
      <c r="B163" s="358">
        <v>57.3</v>
      </c>
      <c r="C163" s="334">
        <v>0</v>
      </c>
      <c r="D163" s="334">
        <v>0</v>
      </c>
      <c r="E163" s="334">
        <v>86.89</v>
      </c>
      <c r="F163" s="334">
        <v>41.1</v>
      </c>
      <c r="G163" s="334">
        <v>0</v>
      </c>
      <c r="H163" s="334">
        <v>0</v>
      </c>
      <c r="I163" s="334">
        <v>0</v>
      </c>
      <c r="J163" s="334">
        <v>0</v>
      </c>
      <c r="K163" s="334">
        <v>0</v>
      </c>
      <c r="L163" s="334">
        <v>0</v>
      </c>
      <c r="M163" s="334">
        <v>0</v>
      </c>
      <c r="N163" s="334">
        <v>0</v>
      </c>
      <c r="O163" s="334">
        <v>0</v>
      </c>
      <c r="P163" s="334">
        <v>0</v>
      </c>
      <c r="Q163" s="334">
        <v>0</v>
      </c>
      <c r="R163" s="339">
        <v>0</v>
      </c>
    </row>
    <row r="164" spans="1:18" x14ac:dyDescent="0.25">
      <c r="A164" s="236" t="s">
        <v>274</v>
      </c>
      <c r="B164" s="358">
        <v>34.630000000000003</v>
      </c>
      <c r="C164" s="334">
        <v>0</v>
      </c>
      <c r="D164" s="334">
        <v>169.62</v>
      </c>
      <c r="E164" s="334">
        <v>41.64</v>
      </c>
      <c r="F164" s="334">
        <v>38.46</v>
      </c>
      <c r="G164" s="334">
        <v>0</v>
      </c>
      <c r="H164" s="334">
        <v>28.33</v>
      </c>
      <c r="I164" s="334">
        <v>0</v>
      </c>
      <c r="J164" s="334">
        <v>1520.62</v>
      </c>
      <c r="K164" s="334">
        <v>1510.62</v>
      </c>
      <c r="L164" s="334">
        <v>771.77</v>
      </c>
      <c r="M164" s="334">
        <v>0</v>
      </c>
      <c r="N164" s="334">
        <v>0</v>
      </c>
      <c r="O164" s="334">
        <v>0</v>
      </c>
      <c r="P164" s="334">
        <v>0</v>
      </c>
      <c r="Q164" s="334">
        <v>1080.32</v>
      </c>
      <c r="R164" s="339">
        <v>0</v>
      </c>
    </row>
    <row r="165" spans="1:18" x14ac:dyDescent="0.25">
      <c r="A165" s="236" t="s">
        <v>275</v>
      </c>
      <c r="B165" s="358">
        <v>68.989999999999995</v>
      </c>
      <c r="C165" s="334">
        <v>33.58</v>
      </c>
      <c r="D165" s="334">
        <v>169.62</v>
      </c>
      <c r="E165" s="334">
        <v>71.94</v>
      </c>
      <c r="F165" s="334">
        <v>64.19</v>
      </c>
      <c r="G165" s="334">
        <v>0</v>
      </c>
      <c r="H165" s="334">
        <v>0</v>
      </c>
      <c r="I165" s="334">
        <v>0</v>
      </c>
      <c r="J165" s="334">
        <v>0</v>
      </c>
      <c r="K165" s="334">
        <v>0</v>
      </c>
      <c r="L165" s="334">
        <v>0</v>
      </c>
      <c r="M165" s="334">
        <v>0</v>
      </c>
      <c r="N165" s="334">
        <v>0</v>
      </c>
      <c r="O165" s="334">
        <v>0</v>
      </c>
      <c r="P165" s="334">
        <v>0</v>
      </c>
      <c r="Q165" s="334">
        <v>0</v>
      </c>
      <c r="R165" s="339">
        <v>0</v>
      </c>
    </row>
    <row r="166" spans="1:18" x14ac:dyDescent="0.25">
      <c r="A166" s="236" t="s">
        <v>276</v>
      </c>
      <c r="B166" s="358">
        <v>31.93</v>
      </c>
      <c r="C166" s="334">
        <v>0</v>
      </c>
      <c r="D166" s="334">
        <v>0</v>
      </c>
      <c r="E166" s="334">
        <v>41.05</v>
      </c>
      <c r="F166" s="334">
        <v>57.8</v>
      </c>
      <c r="G166" s="334">
        <v>0</v>
      </c>
      <c r="H166" s="334">
        <v>0</v>
      </c>
      <c r="I166" s="334">
        <v>0</v>
      </c>
      <c r="J166" s="334">
        <v>0</v>
      </c>
      <c r="K166" s="334">
        <v>0</v>
      </c>
      <c r="L166" s="334">
        <v>0</v>
      </c>
      <c r="M166" s="334">
        <v>0</v>
      </c>
      <c r="N166" s="334">
        <v>0</v>
      </c>
      <c r="O166" s="334">
        <v>0</v>
      </c>
      <c r="P166" s="334">
        <v>0</v>
      </c>
      <c r="Q166" s="334">
        <v>0</v>
      </c>
      <c r="R166" s="339">
        <v>0</v>
      </c>
    </row>
    <row r="167" spans="1:18" x14ac:dyDescent="0.25">
      <c r="A167" s="236" t="s">
        <v>277</v>
      </c>
      <c r="B167" s="358">
        <v>28.36</v>
      </c>
      <c r="C167" s="334">
        <v>0</v>
      </c>
      <c r="D167" s="334">
        <v>169.62</v>
      </c>
      <c r="E167" s="334">
        <v>39.31</v>
      </c>
      <c r="F167" s="334">
        <v>28.58</v>
      </c>
      <c r="G167" s="334">
        <v>10.93</v>
      </c>
      <c r="H167" s="334">
        <v>0</v>
      </c>
      <c r="I167" s="334">
        <v>1023.14</v>
      </c>
      <c r="J167" s="334">
        <v>0</v>
      </c>
      <c r="K167" s="334">
        <v>1099.99</v>
      </c>
      <c r="L167" s="334">
        <v>788.27</v>
      </c>
      <c r="M167" s="334">
        <v>775.06</v>
      </c>
      <c r="N167" s="334">
        <v>477.6</v>
      </c>
      <c r="O167" s="334">
        <v>0</v>
      </c>
      <c r="P167" s="334">
        <v>0</v>
      </c>
      <c r="Q167" s="334">
        <v>931.47</v>
      </c>
      <c r="R167" s="339">
        <v>889.39</v>
      </c>
    </row>
    <row r="168" spans="1:18" x14ac:dyDescent="0.25">
      <c r="A168" s="236" t="s">
        <v>278</v>
      </c>
      <c r="B168" s="358">
        <v>51.48</v>
      </c>
      <c r="C168" s="334">
        <v>0</v>
      </c>
      <c r="D168" s="334">
        <v>0</v>
      </c>
      <c r="E168" s="334">
        <v>92.5</v>
      </c>
      <c r="F168" s="334">
        <v>61.07</v>
      </c>
      <c r="G168" s="334">
        <v>0</v>
      </c>
      <c r="H168" s="334">
        <v>0</v>
      </c>
      <c r="I168" s="334">
        <v>0</v>
      </c>
      <c r="J168" s="334">
        <v>0</v>
      </c>
      <c r="K168" s="334">
        <v>1815.87</v>
      </c>
      <c r="L168" s="334">
        <v>0</v>
      </c>
      <c r="M168" s="334">
        <v>0</v>
      </c>
      <c r="N168" s="334">
        <v>0</v>
      </c>
      <c r="O168" s="334">
        <v>0</v>
      </c>
      <c r="P168" s="334">
        <v>0</v>
      </c>
      <c r="Q168" s="334">
        <v>0</v>
      </c>
      <c r="R168" s="339">
        <v>0</v>
      </c>
    </row>
    <row r="169" spans="1:18" x14ac:dyDescent="0.25">
      <c r="A169" s="236" t="s">
        <v>279</v>
      </c>
      <c r="B169" s="358">
        <v>29.74</v>
      </c>
      <c r="C169" s="334">
        <v>32.229999999999997</v>
      </c>
      <c r="D169" s="334">
        <v>0</v>
      </c>
      <c r="E169" s="334">
        <v>40.700000000000003</v>
      </c>
      <c r="F169" s="334">
        <v>37.1</v>
      </c>
      <c r="G169" s="334">
        <v>0</v>
      </c>
      <c r="H169" s="334">
        <v>27.33</v>
      </c>
      <c r="I169" s="334">
        <v>0</v>
      </c>
      <c r="J169" s="334">
        <v>0</v>
      </c>
      <c r="K169" s="334">
        <v>1942.17</v>
      </c>
      <c r="L169" s="334">
        <v>1336.77</v>
      </c>
      <c r="M169" s="334">
        <v>948.72</v>
      </c>
      <c r="N169" s="334">
        <v>384.89</v>
      </c>
      <c r="O169" s="334">
        <v>0</v>
      </c>
      <c r="P169" s="334">
        <v>0</v>
      </c>
      <c r="Q169" s="334">
        <v>1520.79</v>
      </c>
      <c r="R169" s="339">
        <v>1414.75</v>
      </c>
    </row>
    <row r="170" spans="1:18" x14ac:dyDescent="0.25">
      <c r="A170" s="236" t="s">
        <v>280</v>
      </c>
      <c r="B170" s="358">
        <v>38.07</v>
      </c>
      <c r="C170" s="334">
        <v>0</v>
      </c>
      <c r="D170" s="334">
        <v>0</v>
      </c>
      <c r="E170" s="334">
        <v>49.64</v>
      </c>
      <c r="F170" s="334">
        <v>39.53</v>
      </c>
      <c r="G170" s="334">
        <v>0</v>
      </c>
      <c r="H170" s="334">
        <v>0</v>
      </c>
      <c r="I170" s="334">
        <v>993.89</v>
      </c>
      <c r="J170" s="334">
        <v>0</v>
      </c>
      <c r="K170" s="334">
        <v>2069.3200000000002</v>
      </c>
      <c r="L170" s="334">
        <v>806.7</v>
      </c>
      <c r="M170" s="334">
        <v>0</v>
      </c>
      <c r="N170" s="334">
        <v>0</v>
      </c>
      <c r="O170" s="334">
        <v>0</v>
      </c>
      <c r="P170" s="334">
        <v>0</v>
      </c>
      <c r="Q170" s="334">
        <v>0</v>
      </c>
      <c r="R170" s="339">
        <v>0</v>
      </c>
    </row>
    <row r="171" spans="1:18" x14ac:dyDescent="0.25">
      <c r="A171" s="236" t="s">
        <v>281</v>
      </c>
      <c r="B171" s="358">
        <v>0</v>
      </c>
      <c r="C171" s="334">
        <v>0</v>
      </c>
      <c r="D171" s="334">
        <v>0</v>
      </c>
      <c r="E171" s="334">
        <v>0</v>
      </c>
      <c r="F171" s="334">
        <v>0</v>
      </c>
      <c r="G171" s="334">
        <v>0</v>
      </c>
      <c r="H171" s="334">
        <v>0</v>
      </c>
      <c r="I171" s="334">
        <v>0</v>
      </c>
      <c r="J171" s="334">
        <v>0</v>
      </c>
      <c r="K171" s="334">
        <v>0</v>
      </c>
      <c r="L171" s="334">
        <v>0</v>
      </c>
      <c r="M171" s="334">
        <v>0</v>
      </c>
      <c r="N171" s="334">
        <v>0</v>
      </c>
      <c r="O171" s="334">
        <v>0</v>
      </c>
      <c r="P171" s="334">
        <v>0</v>
      </c>
      <c r="Q171" s="334">
        <v>0</v>
      </c>
      <c r="R171" s="339">
        <v>0</v>
      </c>
    </row>
    <row r="172" spans="1:18" x14ac:dyDescent="0.25">
      <c r="A172" s="236" t="s">
        <v>282</v>
      </c>
      <c r="B172" s="358">
        <v>36.369999999999997</v>
      </c>
      <c r="C172" s="334">
        <v>33.58</v>
      </c>
      <c r="D172" s="334">
        <v>193.5</v>
      </c>
      <c r="E172" s="334">
        <v>34.47</v>
      </c>
      <c r="F172" s="334">
        <v>37.39</v>
      </c>
      <c r="G172" s="334">
        <v>0</v>
      </c>
      <c r="H172" s="334">
        <v>0</v>
      </c>
      <c r="I172" s="334">
        <v>0</v>
      </c>
      <c r="J172" s="334">
        <v>0</v>
      </c>
      <c r="K172" s="334">
        <v>1776.54</v>
      </c>
      <c r="L172" s="334">
        <v>0</v>
      </c>
      <c r="M172" s="334">
        <v>748.17</v>
      </c>
      <c r="N172" s="334">
        <v>0</v>
      </c>
      <c r="O172" s="334">
        <v>0</v>
      </c>
      <c r="P172" s="334">
        <v>0</v>
      </c>
      <c r="Q172" s="334">
        <v>0</v>
      </c>
      <c r="R172" s="339">
        <v>0</v>
      </c>
    </row>
    <row r="173" spans="1:18" x14ac:dyDescent="0.25">
      <c r="A173" s="236" t="s">
        <v>283</v>
      </c>
      <c r="B173" s="358">
        <v>32.880000000000003</v>
      </c>
      <c r="C173" s="334">
        <v>0</v>
      </c>
      <c r="D173" s="334">
        <v>0</v>
      </c>
      <c r="E173" s="334">
        <v>58.26</v>
      </c>
      <c r="F173" s="334">
        <v>59.2</v>
      </c>
      <c r="G173" s="334">
        <v>0</v>
      </c>
      <c r="H173" s="351">
        <v>0</v>
      </c>
      <c r="I173" s="334">
        <v>990.3</v>
      </c>
      <c r="J173" s="334">
        <v>1520.62</v>
      </c>
      <c r="K173" s="334">
        <v>0</v>
      </c>
      <c r="L173" s="334">
        <v>867.88</v>
      </c>
      <c r="M173" s="334">
        <v>0</v>
      </c>
      <c r="N173" s="334">
        <v>446.12</v>
      </c>
      <c r="O173" s="334">
        <v>0</v>
      </c>
      <c r="P173" s="334">
        <v>0</v>
      </c>
      <c r="Q173" s="334">
        <v>999.8</v>
      </c>
      <c r="R173" s="339">
        <v>0</v>
      </c>
    </row>
    <row r="174" spans="1:18" x14ac:dyDescent="0.25">
      <c r="A174" s="236" t="s">
        <v>284</v>
      </c>
      <c r="B174" s="358">
        <v>26.59</v>
      </c>
      <c r="C174" s="334">
        <v>33.58</v>
      </c>
      <c r="D174" s="334">
        <v>175.31</v>
      </c>
      <c r="E174" s="334">
        <v>39.68</v>
      </c>
      <c r="F174" s="334">
        <v>33.99</v>
      </c>
      <c r="G174" s="334">
        <v>0</v>
      </c>
      <c r="H174" s="351">
        <v>0</v>
      </c>
      <c r="I174" s="334">
        <v>0</v>
      </c>
      <c r="J174" s="334">
        <v>1520.62</v>
      </c>
      <c r="K174" s="334">
        <v>1411.02</v>
      </c>
      <c r="L174" s="334">
        <v>0</v>
      </c>
      <c r="M174" s="334">
        <v>775.06</v>
      </c>
      <c r="N174" s="334">
        <v>432.52</v>
      </c>
      <c r="O174" s="334">
        <v>0</v>
      </c>
      <c r="P174" s="334">
        <v>0</v>
      </c>
      <c r="Q174" s="334">
        <v>0</v>
      </c>
      <c r="R174" s="339">
        <v>0</v>
      </c>
    </row>
    <row r="175" spans="1:18" x14ac:dyDescent="0.25">
      <c r="A175" s="236" t="s">
        <v>285</v>
      </c>
      <c r="B175" s="358">
        <v>23.94</v>
      </c>
      <c r="C175" s="334">
        <v>33.58</v>
      </c>
      <c r="D175" s="334">
        <v>169.62</v>
      </c>
      <c r="E175" s="334">
        <v>31.64</v>
      </c>
      <c r="F175" s="334">
        <v>34.69</v>
      </c>
      <c r="G175" s="334">
        <v>10.67</v>
      </c>
      <c r="H175" s="351">
        <v>0</v>
      </c>
      <c r="I175" s="334">
        <v>818.63</v>
      </c>
      <c r="J175" s="334">
        <v>0</v>
      </c>
      <c r="K175" s="334">
        <v>1287.23</v>
      </c>
      <c r="L175" s="334">
        <v>868</v>
      </c>
      <c r="M175" s="334">
        <v>775.06</v>
      </c>
      <c r="N175" s="334">
        <v>444</v>
      </c>
      <c r="O175" s="334">
        <v>0</v>
      </c>
      <c r="P175" s="334">
        <v>0</v>
      </c>
      <c r="Q175" s="334">
        <v>1026.6300000000001</v>
      </c>
      <c r="R175" s="339">
        <v>1012.83</v>
      </c>
    </row>
    <row r="176" spans="1:18" x14ac:dyDescent="0.25">
      <c r="A176" s="236" t="s">
        <v>286</v>
      </c>
      <c r="B176" s="358">
        <v>43.41</v>
      </c>
      <c r="C176" s="334">
        <v>33.58</v>
      </c>
      <c r="D176" s="334">
        <v>169.62</v>
      </c>
      <c r="E176" s="334">
        <v>45.94</v>
      </c>
      <c r="F176" s="334">
        <v>39.18</v>
      </c>
      <c r="G176" s="334">
        <v>0</v>
      </c>
      <c r="H176" s="351">
        <v>0</v>
      </c>
      <c r="I176" s="334">
        <v>879.89</v>
      </c>
      <c r="J176" s="334">
        <v>0</v>
      </c>
      <c r="K176" s="334">
        <v>1256.3</v>
      </c>
      <c r="L176" s="334">
        <v>905.61</v>
      </c>
      <c r="M176" s="334">
        <v>0</v>
      </c>
      <c r="N176" s="334">
        <v>481.63</v>
      </c>
      <c r="O176" s="334">
        <v>0</v>
      </c>
      <c r="P176" s="334">
        <v>0</v>
      </c>
      <c r="Q176" s="334">
        <v>1117.33</v>
      </c>
      <c r="R176" s="339">
        <v>0</v>
      </c>
    </row>
    <row r="177" spans="1:18" x14ac:dyDescent="0.25">
      <c r="A177" s="236" t="s">
        <v>287</v>
      </c>
      <c r="B177" s="358">
        <v>29.49</v>
      </c>
      <c r="C177" s="334">
        <v>0</v>
      </c>
      <c r="D177" s="334">
        <v>159.16</v>
      </c>
      <c r="E177" s="334">
        <v>44.06</v>
      </c>
      <c r="F177" s="334">
        <v>41.27</v>
      </c>
      <c r="G177" s="334">
        <v>0</v>
      </c>
      <c r="H177" s="351">
        <v>0</v>
      </c>
      <c r="I177" s="334">
        <v>0</v>
      </c>
      <c r="J177" s="334">
        <v>0</v>
      </c>
      <c r="K177" s="334">
        <v>0</v>
      </c>
      <c r="L177" s="334">
        <v>0</v>
      </c>
      <c r="M177" s="334">
        <v>0</v>
      </c>
      <c r="N177" s="334">
        <v>0</v>
      </c>
      <c r="O177" s="334">
        <v>0</v>
      </c>
      <c r="P177" s="334">
        <v>0</v>
      </c>
      <c r="Q177" s="334">
        <v>0</v>
      </c>
      <c r="R177" s="339">
        <v>0</v>
      </c>
    </row>
    <row r="178" spans="1:18" x14ac:dyDescent="0.25">
      <c r="A178" s="236" t="s">
        <v>288</v>
      </c>
      <c r="B178" s="358">
        <v>0</v>
      </c>
      <c r="C178" s="334">
        <v>0</v>
      </c>
      <c r="D178" s="334">
        <v>0</v>
      </c>
      <c r="E178" s="334">
        <v>0</v>
      </c>
      <c r="F178" s="334">
        <v>0</v>
      </c>
      <c r="G178" s="334">
        <v>0</v>
      </c>
      <c r="H178" s="351">
        <v>0</v>
      </c>
      <c r="I178" s="334">
        <v>0</v>
      </c>
      <c r="J178" s="334">
        <v>0</v>
      </c>
      <c r="K178" s="334">
        <v>0</v>
      </c>
      <c r="L178" s="334">
        <v>0</v>
      </c>
      <c r="M178" s="334">
        <v>0</v>
      </c>
      <c r="N178" s="334">
        <v>0</v>
      </c>
      <c r="O178" s="334">
        <v>0</v>
      </c>
      <c r="P178" s="334">
        <v>0</v>
      </c>
      <c r="Q178" s="334">
        <v>0</v>
      </c>
      <c r="R178" s="339">
        <v>0</v>
      </c>
    </row>
    <row r="179" spans="1:18" x14ac:dyDescent="0.25">
      <c r="A179" s="236" t="s">
        <v>289</v>
      </c>
      <c r="B179" s="358">
        <v>34.24</v>
      </c>
      <c r="C179" s="334">
        <v>0</v>
      </c>
      <c r="D179" s="334">
        <v>0</v>
      </c>
      <c r="E179" s="334">
        <v>32.21</v>
      </c>
      <c r="F179" s="334">
        <v>38.89</v>
      </c>
      <c r="G179" s="334">
        <v>0</v>
      </c>
      <c r="H179" s="361">
        <v>28.4</v>
      </c>
      <c r="I179" s="334">
        <v>1075.96</v>
      </c>
      <c r="J179" s="334">
        <v>0</v>
      </c>
      <c r="K179" s="334">
        <v>1717.12</v>
      </c>
      <c r="L179" s="334">
        <v>1194.53</v>
      </c>
      <c r="M179" s="334">
        <v>914.55</v>
      </c>
      <c r="N179" s="334">
        <v>0</v>
      </c>
      <c r="O179" s="334">
        <v>0</v>
      </c>
      <c r="P179" s="334">
        <v>0</v>
      </c>
      <c r="Q179" s="334">
        <v>1342.91</v>
      </c>
      <c r="R179" s="339">
        <v>0</v>
      </c>
    </row>
    <row r="180" spans="1:18" x14ac:dyDescent="0.25">
      <c r="A180" s="236" t="s">
        <v>290</v>
      </c>
      <c r="B180" s="358">
        <v>72.790000000000006</v>
      </c>
      <c r="C180" s="334">
        <v>33.58</v>
      </c>
      <c r="D180" s="334">
        <v>169.62</v>
      </c>
      <c r="E180" s="334">
        <v>71.959999999999994</v>
      </c>
      <c r="F180" s="334">
        <v>55.3</v>
      </c>
      <c r="G180" s="334">
        <v>0</v>
      </c>
      <c r="H180" s="351">
        <v>0</v>
      </c>
      <c r="I180" s="334">
        <v>0</v>
      </c>
      <c r="J180" s="334">
        <v>0</v>
      </c>
      <c r="K180" s="334">
        <v>0</v>
      </c>
      <c r="L180" s="334">
        <v>0</v>
      </c>
      <c r="M180" s="334">
        <v>0</v>
      </c>
      <c r="N180" s="334">
        <v>0</v>
      </c>
      <c r="O180" s="334">
        <v>0</v>
      </c>
      <c r="P180" s="334">
        <v>0</v>
      </c>
      <c r="Q180" s="334">
        <v>0</v>
      </c>
      <c r="R180" s="339">
        <v>0</v>
      </c>
    </row>
    <row r="181" spans="1:18" x14ac:dyDescent="0.25">
      <c r="A181" s="236" t="s">
        <v>291</v>
      </c>
      <c r="B181" s="358">
        <v>31.33</v>
      </c>
      <c r="C181" s="334">
        <v>0</v>
      </c>
      <c r="D181" s="334">
        <v>93.69</v>
      </c>
      <c r="E181" s="334">
        <v>45.13</v>
      </c>
      <c r="F181" s="334">
        <v>0</v>
      </c>
      <c r="G181" s="334">
        <v>14.99</v>
      </c>
      <c r="H181" s="361">
        <v>29</v>
      </c>
      <c r="I181" s="334">
        <v>1174.33</v>
      </c>
      <c r="J181" s="334">
        <v>1601.63</v>
      </c>
      <c r="K181" s="334">
        <v>2007.6</v>
      </c>
      <c r="L181" s="334">
        <v>1360.06</v>
      </c>
      <c r="M181" s="334">
        <v>963.17</v>
      </c>
      <c r="N181" s="334">
        <v>421.37</v>
      </c>
      <c r="O181" s="334">
        <v>0</v>
      </c>
      <c r="P181" s="334">
        <v>0</v>
      </c>
      <c r="Q181" s="334">
        <v>1524.91</v>
      </c>
      <c r="R181" s="339">
        <v>0</v>
      </c>
    </row>
    <row r="182" spans="1:18" x14ac:dyDescent="0.25">
      <c r="A182" s="236" t="s">
        <v>292</v>
      </c>
      <c r="B182" s="358">
        <v>24.81</v>
      </c>
      <c r="C182" s="334">
        <v>29.6</v>
      </c>
      <c r="D182" s="334">
        <v>121.91</v>
      </c>
      <c r="E182" s="334">
        <v>39.78</v>
      </c>
      <c r="F182" s="334">
        <v>42.99</v>
      </c>
      <c r="G182" s="334">
        <v>12</v>
      </c>
      <c r="H182" s="334">
        <v>27</v>
      </c>
      <c r="I182" s="334">
        <v>920.71</v>
      </c>
      <c r="J182" s="334">
        <v>0</v>
      </c>
      <c r="K182" s="334">
        <v>1664.06</v>
      </c>
      <c r="L182" s="334">
        <v>944.8</v>
      </c>
      <c r="M182" s="334">
        <v>1073.78</v>
      </c>
      <c r="N182" s="334">
        <v>434.93</v>
      </c>
      <c r="O182" s="334">
        <v>1037</v>
      </c>
      <c r="P182" s="334">
        <v>0</v>
      </c>
      <c r="Q182" s="334">
        <v>1318.95</v>
      </c>
      <c r="R182" s="339">
        <v>1408.59</v>
      </c>
    </row>
    <row r="183" spans="1:18" x14ac:dyDescent="0.25">
      <c r="A183" s="236" t="s">
        <v>293</v>
      </c>
      <c r="B183" s="358">
        <v>33.369999999999997</v>
      </c>
      <c r="C183" s="334">
        <v>33.58</v>
      </c>
      <c r="D183" s="334">
        <v>174.36</v>
      </c>
      <c r="E183" s="334">
        <v>51.54</v>
      </c>
      <c r="F183" s="334">
        <v>41.98</v>
      </c>
      <c r="G183" s="334">
        <v>9.6</v>
      </c>
      <c r="H183" s="334">
        <v>29</v>
      </c>
      <c r="I183" s="334">
        <v>0</v>
      </c>
      <c r="J183" s="334">
        <v>0</v>
      </c>
      <c r="K183" s="334">
        <v>1553.57</v>
      </c>
      <c r="L183" s="334">
        <v>1051.94</v>
      </c>
      <c r="M183" s="334">
        <v>735.1</v>
      </c>
      <c r="N183" s="334">
        <v>0</v>
      </c>
      <c r="O183" s="334">
        <v>0</v>
      </c>
      <c r="P183" s="334">
        <v>0</v>
      </c>
      <c r="Q183" s="334">
        <v>0</v>
      </c>
      <c r="R183" s="339">
        <v>0</v>
      </c>
    </row>
    <row r="184" spans="1:18" x14ac:dyDescent="0.25">
      <c r="A184" s="236" t="s">
        <v>294</v>
      </c>
      <c r="B184" s="358">
        <v>0</v>
      </c>
      <c r="C184" s="334">
        <v>0</v>
      </c>
      <c r="D184" s="334">
        <v>0</v>
      </c>
      <c r="E184" s="334">
        <v>0</v>
      </c>
      <c r="F184" s="334">
        <v>0</v>
      </c>
      <c r="G184" s="334">
        <v>0</v>
      </c>
      <c r="H184" s="351">
        <v>0</v>
      </c>
      <c r="I184" s="334">
        <v>0</v>
      </c>
      <c r="J184" s="334">
        <v>0</v>
      </c>
      <c r="K184" s="334">
        <v>0</v>
      </c>
      <c r="L184" s="334">
        <v>0</v>
      </c>
      <c r="M184" s="334">
        <v>0</v>
      </c>
      <c r="N184" s="334">
        <v>0</v>
      </c>
      <c r="O184" s="334">
        <v>0</v>
      </c>
      <c r="P184" s="334">
        <v>0</v>
      </c>
      <c r="Q184" s="334">
        <v>0</v>
      </c>
      <c r="R184" s="339">
        <v>0</v>
      </c>
    </row>
    <row r="185" spans="1:18" x14ac:dyDescent="0.25">
      <c r="A185" s="236" t="s">
        <v>295</v>
      </c>
      <c r="B185" s="358">
        <v>28.95</v>
      </c>
      <c r="C185" s="334">
        <v>0</v>
      </c>
      <c r="D185" s="334">
        <v>152.29</v>
      </c>
      <c r="E185" s="334">
        <v>41.84</v>
      </c>
      <c r="F185" s="334">
        <v>48.86</v>
      </c>
      <c r="G185" s="334">
        <v>15.45</v>
      </c>
      <c r="H185" s="351">
        <v>0</v>
      </c>
      <c r="I185" s="334">
        <v>1378.31</v>
      </c>
      <c r="J185" s="334">
        <v>0</v>
      </c>
      <c r="K185" s="334">
        <v>1865.17</v>
      </c>
      <c r="L185" s="334">
        <v>1139.6199999999999</v>
      </c>
      <c r="M185" s="334">
        <v>1004.15</v>
      </c>
      <c r="N185" s="334">
        <v>546.91</v>
      </c>
      <c r="O185" s="334">
        <v>1037</v>
      </c>
      <c r="P185" s="334">
        <v>0</v>
      </c>
      <c r="Q185" s="334">
        <v>1352.63</v>
      </c>
      <c r="R185" s="339">
        <v>1534.07</v>
      </c>
    </row>
    <row r="186" spans="1:18" x14ac:dyDescent="0.25">
      <c r="A186" s="236" t="s">
        <v>296</v>
      </c>
      <c r="B186" s="358">
        <v>43.34</v>
      </c>
      <c r="C186" s="334">
        <v>0</v>
      </c>
      <c r="D186" s="334">
        <v>194.77</v>
      </c>
      <c r="E186" s="334">
        <v>35.340000000000003</v>
      </c>
      <c r="F186" s="334">
        <v>41.27</v>
      </c>
      <c r="G186" s="334">
        <v>0</v>
      </c>
      <c r="H186" s="352">
        <v>26.67</v>
      </c>
      <c r="I186" s="334">
        <v>0</v>
      </c>
      <c r="J186" s="334">
        <v>1520.62</v>
      </c>
      <c r="K186" s="334">
        <v>1714.58</v>
      </c>
      <c r="L186" s="334">
        <v>837.21</v>
      </c>
      <c r="M186" s="334">
        <v>738.86</v>
      </c>
      <c r="N186" s="334">
        <v>0</v>
      </c>
      <c r="O186" s="334">
        <v>0</v>
      </c>
      <c r="P186" s="334">
        <v>0</v>
      </c>
      <c r="Q186" s="334">
        <v>0</v>
      </c>
      <c r="R186" s="339">
        <v>0</v>
      </c>
    </row>
    <row r="187" spans="1:18" x14ac:dyDescent="0.25">
      <c r="A187" s="236" t="s">
        <v>297</v>
      </c>
      <c r="B187" s="358">
        <v>45.17</v>
      </c>
      <c r="C187" s="334">
        <v>0</v>
      </c>
      <c r="D187" s="334">
        <v>0</v>
      </c>
      <c r="E187" s="334">
        <v>61.8</v>
      </c>
      <c r="F187" s="334">
        <v>35.32</v>
      </c>
      <c r="G187" s="334">
        <v>0</v>
      </c>
      <c r="H187" s="351">
        <v>0</v>
      </c>
      <c r="I187" s="334">
        <v>0</v>
      </c>
      <c r="J187" s="334">
        <v>0</v>
      </c>
      <c r="K187" s="334">
        <v>0</v>
      </c>
      <c r="L187" s="334">
        <v>0</v>
      </c>
      <c r="M187" s="334">
        <v>0</v>
      </c>
      <c r="N187" s="334">
        <v>0</v>
      </c>
      <c r="O187" s="334">
        <v>0</v>
      </c>
      <c r="P187" s="334">
        <v>0</v>
      </c>
      <c r="Q187" s="334">
        <v>0</v>
      </c>
      <c r="R187" s="339">
        <v>0</v>
      </c>
    </row>
    <row r="188" spans="1:18" x14ac:dyDescent="0.25">
      <c r="A188" s="236" t="s">
        <v>298</v>
      </c>
      <c r="B188" s="358">
        <v>52.35</v>
      </c>
      <c r="C188" s="334">
        <v>0</v>
      </c>
      <c r="D188" s="334">
        <v>169.62</v>
      </c>
      <c r="E188" s="334">
        <v>43.41</v>
      </c>
      <c r="F188" s="334">
        <v>33.94</v>
      </c>
      <c r="G188" s="334">
        <v>12.8</v>
      </c>
      <c r="H188" s="351">
        <v>0</v>
      </c>
      <c r="I188" s="334">
        <v>0</v>
      </c>
      <c r="J188" s="334">
        <v>0</v>
      </c>
      <c r="K188" s="334">
        <v>1418.79</v>
      </c>
      <c r="L188" s="334">
        <v>956.58</v>
      </c>
      <c r="M188" s="334">
        <v>0</v>
      </c>
      <c r="N188" s="334">
        <v>463.35</v>
      </c>
      <c r="O188" s="334">
        <v>0</v>
      </c>
      <c r="P188" s="334">
        <v>0</v>
      </c>
      <c r="Q188" s="334">
        <v>1221.18</v>
      </c>
      <c r="R188" s="339">
        <v>0</v>
      </c>
    </row>
    <row r="189" spans="1:18" x14ac:dyDescent="0.25">
      <c r="A189" s="236" t="s">
        <v>299</v>
      </c>
      <c r="B189" s="358">
        <v>25.99</v>
      </c>
      <c r="C189" s="334">
        <v>0</v>
      </c>
      <c r="D189" s="334">
        <v>169.62</v>
      </c>
      <c r="E189" s="334">
        <v>33.85</v>
      </c>
      <c r="F189" s="334">
        <v>42.64</v>
      </c>
      <c r="G189" s="334">
        <v>10.67</v>
      </c>
      <c r="H189" s="351">
        <v>0</v>
      </c>
      <c r="I189" s="334">
        <v>995.31</v>
      </c>
      <c r="J189" s="334">
        <v>0</v>
      </c>
      <c r="K189" s="334">
        <v>1126.69</v>
      </c>
      <c r="L189" s="334">
        <v>885.32</v>
      </c>
      <c r="M189" s="334">
        <v>0</v>
      </c>
      <c r="N189" s="334">
        <v>504</v>
      </c>
      <c r="O189" s="334">
        <v>0</v>
      </c>
      <c r="P189" s="334">
        <v>0</v>
      </c>
      <c r="Q189" s="334">
        <v>798.12</v>
      </c>
      <c r="R189" s="339">
        <v>1058.3599999999999</v>
      </c>
    </row>
    <row r="190" spans="1:18" x14ac:dyDescent="0.25">
      <c r="A190" s="236" t="s">
        <v>300</v>
      </c>
      <c r="B190" s="358">
        <v>44.68</v>
      </c>
      <c r="C190" s="334">
        <v>0</v>
      </c>
      <c r="D190" s="334">
        <v>191.32</v>
      </c>
      <c r="E190" s="334">
        <v>117.18</v>
      </c>
      <c r="F190" s="334">
        <v>57.2</v>
      </c>
      <c r="G190" s="334">
        <v>0</v>
      </c>
      <c r="H190" s="351">
        <v>0</v>
      </c>
      <c r="I190" s="334">
        <v>0</v>
      </c>
      <c r="J190" s="334">
        <v>0</v>
      </c>
      <c r="K190" s="334">
        <v>0</v>
      </c>
      <c r="L190" s="334">
        <v>0</v>
      </c>
      <c r="M190" s="334">
        <v>729.43</v>
      </c>
      <c r="N190" s="334">
        <v>0</v>
      </c>
      <c r="O190" s="334">
        <v>0</v>
      </c>
      <c r="P190" s="334">
        <v>0</v>
      </c>
      <c r="Q190" s="334">
        <v>0</v>
      </c>
      <c r="R190" s="339">
        <v>0</v>
      </c>
    </row>
    <row r="191" spans="1:18" x14ac:dyDescent="0.25">
      <c r="A191" s="236" t="s">
        <v>301</v>
      </c>
      <c r="B191" s="358">
        <v>25.18</v>
      </c>
      <c r="C191" s="334">
        <v>33.58</v>
      </c>
      <c r="D191" s="334">
        <v>161.96</v>
      </c>
      <c r="E191" s="334">
        <v>39.11</v>
      </c>
      <c r="F191" s="334">
        <v>35</v>
      </c>
      <c r="G191" s="334">
        <v>11.73</v>
      </c>
      <c r="H191" s="361">
        <v>26.67</v>
      </c>
      <c r="I191" s="334">
        <v>955.28</v>
      </c>
      <c r="J191" s="334">
        <v>1520.62</v>
      </c>
      <c r="K191" s="334">
        <v>1413.42</v>
      </c>
      <c r="L191" s="334">
        <v>976.67</v>
      </c>
      <c r="M191" s="334">
        <v>948.72</v>
      </c>
      <c r="N191" s="334">
        <v>416.8</v>
      </c>
      <c r="O191" s="334">
        <v>0</v>
      </c>
      <c r="P191" s="334">
        <v>0</v>
      </c>
      <c r="Q191" s="334">
        <v>968.33</v>
      </c>
      <c r="R191" s="339">
        <v>1150.03</v>
      </c>
    </row>
    <row r="192" spans="1:18" x14ac:dyDescent="0.25">
      <c r="A192" s="236" t="s">
        <v>302</v>
      </c>
      <c r="B192" s="358">
        <v>29.33</v>
      </c>
      <c r="C192" s="334">
        <v>0</v>
      </c>
      <c r="D192" s="334">
        <v>169.62</v>
      </c>
      <c r="E192" s="334">
        <v>0</v>
      </c>
      <c r="F192" s="334">
        <v>46.72</v>
      </c>
      <c r="G192" s="334">
        <v>0</v>
      </c>
      <c r="H192" s="351">
        <v>0</v>
      </c>
      <c r="I192" s="334">
        <v>990.3</v>
      </c>
      <c r="J192" s="334">
        <v>0</v>
      </c>
      <c r="K192" s="334">
        <v>1594.43</v>
      </c>
      <c r="L192" s="334">
        <v>878.42</v>
      </c>
      <c r="M192" s="334">
        <v>0</v>
      </c>
      <c r="N192" s="334">
        <v>0</v>
      </c>
      <c r="O192" s="334">
        <v>0</v>
      </c>
      <c r="P192" s="334">
        <v>0</v>
      </c>
      <c r="Q192" s="334">
        <v>0</v>
      </c>
      <c r="R192" s="339">
        <v>0</v>
      </c>
    </row>
    <row r="193" spans="1:18" x14ac:dyDescent="0.25">
      <c r="A193" s="236" t="s">
        <v>303</v>
      </c>
      <c r="B193" s="358">
        <v>33.86</v>
      </c>
      <c r="C193" s="334">
        <v>32.36</v>
      </c>
      <c r="D193" s="334">
        <v>140.52000000000001</v>
      </c>
      <c r="E193" s="334">
        <v>36.450000000000003</v>
      </c>
      <c r="F193" s="334">
        <v>38.700000000000003</v>
      </c>
      <c r="G193" s="334">
        <v>15.61</v>
      </c>
      <c r="H193" s="351">
        <v>0</v>
      </c>
      <c r="I193" s="334">
        <v>1342.02</v>
      </c>
      <c r="J193" s="334">
        <v>1601.63</v>
      </c>
      <c r="K193" s="334">
        <v>1614.01</v>
      </c>
      <c r="L193" s="334">
        <v>1172.92</v>
      </c>
      <c r="M193" s="334">
        <v>922.77</v>
      </c>
      <c r="N193" s="334">
        <v>479.26</v>
      </c>
      <c r="O193" s="334">
        <v>0</v>
      </c>
      <c r="P193" s="334">
        <v>0</v>
      </c>
      <c r="Q193" s="334">
        <v>1407.51</v>
      </c>
      <c r="R193" s="339">
        <v>1098.6300000000001</v>
      </c>
    </row>
    <row r="194" spans="1:18" ht="15.75" thickBot="1" x14ac:dyDescent="0.3">
      <c r="A194" s="237" t="s">
        <v>304</v>
      </c>
      <c r="B194" s="359">
        <v>28.55</v>
      </c>
      <c r="C194" s="336">
        <v>32.049999999999997</v>
      </c>
      <c r="D194" s="336">
        <v>93.69</v>
      </c>
      <c r="E194" s="336">
        <v>36.06</v>
      </c>
      <c r="F194" s="336">
        <v>41.27</v>
      </c>
      <c r="G194" s="336">
        <v>9.8699999999999992</v>
      </c>
      <c r="H194" s="353">
        <v>0</v>
      </c>
      <c r="I194" s="336">
        <v>990.3</v>
      </c>
      <c r="J194" s="336">
        <v>1520.62</v>
      </c>
      <c r="K194" s="336">
        <v>1919.48</v>
      </c>
      <c r="L194" s="336">
        <v>825.99</v>
      </c>
      <c r="M194" s="336">
        <v>787.5</v>
      </c>
      <c r="N194" s="336">
        <v>0</v>
      </c>
      <c r="O194" s="336">
        <v>0</v>
      </c>
      <c r="P194" s="336">
        <v>0</v>
      </c>
      <c r="Q194" s="336">
        <v>0</v>
      </c>
      <c r="R194" s="340">
        <v>0</v>
      </c>
    </row>
    <row r="195" spans="1:18" x14ac:dyDescent="0.25">
      <c r="A195" s="235" t="s">
        <v>305</v>
      </c>
      <c r="B195" s="357">
        <v>65.16</v>
      </c>
      <c r="C195" s="335">
        <v>39.11</v>
      </c>
      <c r="D195" s="335">
        <v>140.41</v>
      </c>
      <c r="E195" s="335">
        <v>43.53</v>
      </c>
      <c r="F195" s="335">
        <v>72.14</v>
      </c>
      <c r="G195" s="335">
        <v>0</v>
      </c>
      <c r="H195" s="335">
        <v>99.52</v>
      </c>
      <c r="I195" s="335">
        <v>0</v>
      </c>
      <c r="J195" s="335">
        <v>2676.77</v>
      </c>
      <c r="K195" s="335">
        <v>0</v>
      </c>
      <c r="L195" s="347">
        <v>0</v>
      </c>
      <c r="M195" s="335">
        <v>0</v>
      </c>
      <c r="N195" s="350">
        <v>0</v>
      </c>
      <c r="O195" s="337">
        <v>0</v>
      </c>
      <c r="P195" s="337">
        <v>0</v>
      </c>
      <c r="Q195" s="335">
        <v>0</v>
      </c>
      <c r="R195" s="345">
        <v>0</v>
      </c>
    </row>
    <row r="196" spans="1:18" x14ac:dyDescent="0.25">
      <c r="A196" s="236" t="s">
        <v>306</v>
      </c>
      <c r="B196" s="358">
        <v>58.89</v>
      </c>
      <c r="C196" s="334">
        <v>41.41</v>
      </c>
      <c r="D196" s="334">
        <v>147.53</v>
      </c>
      <c r="E196" s="334">
        <v>58.5</v>
      </c>
      <c r="F196" s="334">
        <v>86.86</v>
      </c>
      <c r="G196" s="334">
        <v>0</v>
      </c>
      <c r="H196" s="334">
        <v>94.45</v>
      </c>
      <c r="I196" s="334">
        <v>0</v>
      </c>
      <c r="J196" s="334">
        <v>2331.9899999999998</v>
      </c>
      <c r="K196" s="334">
        <v>2319</v>
      </c>
      <c r="L196" s="348">
        <v>0</v>
      </c>
      <c r="M196" s="334">
        <v>0</v>
      </c>
      <c r="N196" s="351">
        <v>0</v>
      </c>
      <c r="O196" s="334">
        <v>0</v>
      </c>
      <c r="P196" s="334">
        <v>0</v>
      </c>
      <c r="Q196" s="334">
        <v>0</v>
      </c>
      <c r="R196" s="343">
        <v>0</v>
      </c>
    </row>
    <row r="197" spans="1:18" x14ac:dyDescent="0.25">
      <c r="A197" s="236" t="s">
        <v>307</v>
      </c>
      <c r="B197" s="358">
        <v>33.5</v>
      </c>
      <c r="C197" s="334">
        <v>19.25</v>
      </c>
      <c r="D197" s="334">
        <v>68.78</v>
      </c>
      <c r="E197" s="334">
        <v>30.13</v>
      </c>
      <c r="F197" s="334">
        <v>65.91</v>
      </c>
      <c r="G197" s="334">
        <v>0</v>
      </c>
      <c r="H197" s="334">
        <v>42.4</v>
      </c>
      <c r="I197" s="334">
        <v>0</v>
      </c>
      <c r="J197" s="334">
        <v>1662.13</v>
      </c>
      <c r="K197" s="334">
        <v>1647</v>
      </c>
      <c r="L197" s="348">
        <v>0</v>
      </c>
      <c r="M197" s="334">
        <v>0</v>
      </c>
      <c r="N197" s="351">
        <v>0</v>
      </c>
      <c r="O197" s="334">
        <v>0</v>
      </c>
      <c r="P197" s="334">
        <v>0</v>
      </c>
      <c r="Q197" s="334">
        <v>1647</v>
      </c>
      <c r="R197" s="392">
        <v>1647</v>
      </c>
    </row>
    <row r="198" spans="1:18" x14ac:dyDescent="0.25">
      <c r="A198" s="236" t="s">
        <v>308</v>
      </c>
      <c r="B198" s="358">
        <v>63.31</v>
      </c>
      <c r="C198" s="334">
        <v>42.8</v>
      </c>
      <c r="D198" s="334">
        <v>154.37</v>
      </c>
      <c r="E198" s="334">
        <v>43.53</v>
      </c>
      <c r="F198" s="334">
        <v>68.87</v>
      </c>
      <c r="G198" s="334">
        <v>0</v>
      </c>
      <c r="H198" s="334">
        <v>92.43</v>
      </c>
      <c r="I198" s="334">
        <v>0</v>
      </c>
      <c r="J198" s="334">
        <v>0</v>
      </c>
      <c r="K198" s="334">
        <v>0</v>
      </c>
      <c r="L198" s="348">
        <v>0</v>
      </c>
      <c r="M198" s="334">
        <v>0</v>
      </c>
      <c r="N198" s="351">
        <v>0</v>
      </c>
      <c r="O198" s="334">
        <v>0</v>
      </c>
      <c r="P198" s="334">
        <v>0</v>
      </c>
      <c r="Q198" s="334">
        <v>0</v>
      </c>
      <c r="R198" s="343">
        <v>0</v>
      </c>
    </row>
    <row r="199" spans="1:18" x14ac:dyDescent="0.25">
      <c r="A199" s="236" t="s">
        <v>309</v>
      </c>
      <c r="B199" s="358">
        <v>55.99</v>
      </c>
      <c r="C199" s="334">
        <v>51.65</v>
      </c>
      <c r="D199" s="334">
        <v>193.4</v>
      </c>
      <c r="E199" s="334">
        <v>44.63</v>
      </c>
      <c r="F199" s="334">
        <v>92.94</v>
      </c>
      <c r="G199" s="334">
        <v>14.1</v>
      </c>
      <c r="H199" s="334">
        <v>93.47</v>
      </c>
      <c r="I199" s="334">
        <v>1946.44</v>
      </c>
      <c r="J199" s="334">
        <v>2175.33</v>
      </c>
      <c r="K199" s="334">
        <v>0</v>
      </c>
      <c r="L199" s="348">
        <v>0</v>
      </c>
      <c r="M199" s="334">
        <v>0</v>
      </c>
      <c r="N199" s="351">
        <v>0</v>
      </c>
      <c r="O199" s="334">
        <v>0</v>
      </c>
      <c r="P199" s="334">
        <v>0</v>
      </c>
      <c r="Q199" s="334">
        <v>1728.77</v>
      </c>
      <c r="R199" s="343">
        <v>0</v>
      </c>
    </row>
    <row r="200" spans="1:18" x14ac:dyDescent="0.25">
      <c r="A200" s="236" t="s">
        <v>310</v>
      </c>
      <c r="B200" s="358">
        <v>58.85</v>
      </c>
      <c r="C200" s="334">
        <v>49.98</v>
      </c>
      <c r="D200" s="334">
        <v>198.07</v>
      </c>
      <c r="E200" s="334">
        <v>60.87</v>
      </c>
      <c r="F200" s="334">
        <v>86.77</v>
      </c>
      <c r="G200" s="334">
        <v>15.17</v>
      </c>
      <c r="H200" s="334">
        <v>88.4</v>
      </c>
      <c r="I200" s="334">
        <v>0</v>
      </c>
      <c r="J200" s="334">
        <v>2411.58</v>
      </c>
      <c r="K200" s="334">
        <v>0</v>
      </c>
      <c r="L200" s="348">
        <v>0</v>
      </c>
      <c r="M200" s="334">
        <v>0</v>
      </c>
      <c r="N200" s="351">
        <v>0</v>
      </c>
      <c r="O200" s="334">
        <v>0</v>
      </c>
      <c r="P200" s="334">
        <v>0</v>
      </c>
      <c r="Q200" s="334">
        <v>0</v>
      </c>
      <c r="R200" s="343">
        <v>0</v>
      </c>
    </row>
    <row r="201" spans="1:18" x14ac:dyDescent="0.25">
      <c r="A201" s="236" t="s">
        <v>311</v>
      </c>
      <c r="B201" s="358">
        <v>64.75</v>
      </c>
      <c r="C201" s="334">
        <v>43.75</v>
      </c>
      <c r="D201" s="334">
        <v>144.08000000000001</v>
      </c>
      <c r="E201" s="334">
        <v>40.57</v>
      </c>
      <c r="F201" s="334">
        <v>78.33</v>
      </c>
      <c r="G201" s="334">
        <v>0</v>
      </c>
      <c r="H201" s="334">
        <v>96.57</v>
      </c>
      <c r="I201" s="334">
        <v>0</v>
      </c>
      <c r="J201" s="334">
        <v>2179.38</v>
      </c>
      <c r="K201" s="334">
        <v>2204</v>
      </c>
      <c r="L201" s="348">
        <v>0</v>
      </c>
      <c r="M201" s="334">
        <v>0</v>
      </c>
      <c r="N201" s="351">
        <v>0</v>
      </c>
      <c r="O201" s="334">
        <v>0</v>
      </c>
      <c r="P201" s="334">
        <v>0</v>
      </c>
      <c r="Q201" s="334">
        <v>0</v>
      </c>
      <c r="R201" s="343">
        <v>0</v>
      </c>
    </row>
    <row r="202" spans="1:18" x14ac:dyDescent="0.25">
      <c r="A202" s="236" t="s">
        <v>312</v>
      </c>
      <c r="B202" s="358">
        <v>55.89</v>
      </c>
      <c r="C202" s="334">
        <v>42.28</v>
      </c>
      <c r="D202" s="334">
        <v>132.18</v>
      </c>
      <c r="E202" s="334">
        <v>48.53</v>
      </c>
      <c r="F202" s="334">
        <v>83.04</v>
      </c>
      <c r="G202" s="334">
        <v>0</v>
      </c>
      <c r="H202" s="334">
        <v>82.22</v>
      </c>
      <c r="I202" s="334">
        <v>0</v>
      </c>
      <c r="J202" s="334">
        <v>2273.98</v>
      </c>
      <c r="K202" s="334">
        <v>2211</v>
      </c>
      <c r="L202" s="348">
        <v>0</v>
      </c>
      <c r="M202" s="334">
        <v>0</v>
      </c>
      <c r="N202" s="351">
        <v>0</v>
      </c>
      <c r="O202" s="334">
        <v>0</v>
      </c>
      <c r="P202" s="334">
        <v>0</v>
      </c>
      <c r="Q202" s="334">
        <v>0</v>
      </c>
      <c r="R202" s="343">
        <v>0</v>
      </c>
    </row>
    <row r="203" spans="1:18" x14ac:dyDescent="0.25">
      <c r="A203" s="236" t="s">
        <v>313</v>
      </c>
      <c r="B203" s="358">
        <v>25.89</v>
      </c>
      <c r="C203" s="334">
        <v>22.78</v>
      </c>
      <c r="D203" s="334">
        <v>183.75</v>
      </c>
      <c r="E203" s="334">
        <v>35.1</v>
      </c>
      <c r="F203" s="334">
        <v>49.97</v>
      </c>
      <c r="G203" s="334">
        <v>16.97</v>
      </c>
      <c r="H203" s="334">
        <v>40.47</v>
      </c>
      <c r="I203" s="334">
        <v>0</v>
      </c>
      <c r="J203" s="334">
        <v>1334.11</v>
      </c>
      <c r="K203" s="334">
        <v>0</v>
      </c>
      <c r="L203" s="348">
        <v>0</v>
      </c>
      <c r="M203" s="334">
        <v>959.45</v>
      </c>
      <c r="N203" s="351">
        <v>0</v>
      </c>
      <c r="O203" s="334">
        <v>0</v>
      </c>
      <c r="P203" s="334">
        <v>0</v>
      </c>
      <c r="Q203" s="334">
        <v>0</v>
      </c>
      <c r="R203" s="343">
        <v>0</v>
      </c>
    </row>
    <row r="204" spans="1:18" x14ac:dyDescent="0.25">
      <c r="A204" s="236" t="s">
        <v>314</v>
      </c>
      <c r="B204" s="358">
        <v>51.76</v>
      </c>
      <c r="C204" s="334">
        <v>37.75</v>
      </c>
      <c r="D204" s="334">
        <v>143.11000000000001</v>
      </c>
      <c r="E204" s="334">
        <v>65.5</v>
      </c>
      <c r="F204" s="334">
        <v>73.900000000000006</v>
      </c>
      <c r="G204" s="334">
        <v>14.2</v>
      </c>
      <c r="H204" s="334">
        <v>50.17</v>
      </c>
      <c r="I204" s="334">
        <v>0</v>
      </c>
      <c r="J204" s="334">
        <v>2389.27</v>
      </c>
      <c r="K204" s="334">
        <v>1755</v>
      </c>
      <c r="L204" s="348">
        <v>0</v>
      </c>
      <c r="M204" s="334">
        <v>0</v>
      </c>
      <c r="N204" s="351">
        <v>0</v>
      </c>
      <c r="O204" s="334">
        <v>0</v>
      </c>
      <c r="P204" s="334">
        <v>0</v>
      </c>
      <c r="Q204" s="334">
        <v>1764.33</v>
      </c>
      <c r="R204" s="343">
        <v>0</v>
      </c>
    </row>
    <row r="205" spans="1:18" x14ac:dyDescent="0.25">
      <c r="A205" s="236" t="s">
        <v>315</v>
      </c>
      <c r="B205" s="358">
        <v>66.94</v>
      </c>
      <c r="C205" s="334">
        <v>42.69</v>
      </c>
      <c r="D205" s="334">
        <v>144.59</v>
      </c>
      <c r="E205" s="334">
        <v>41.3</v>
      </c>
      <c r="F205" s="334">
        <v>84.08</v>
      </c>
      <c r="G205" s="334">
        <v>0</v>
      </c>
      <c r="H205" s="334">
        <v>119.95</v>
      </c>
      <c r="I205" s="334">
        <v>0</v>
      </c>
      <c r="J205" s="334">
        <v>2569.7399999999998</v>
      </c>
      <c r="K205" s="334">
        <v>2204</v>
      </c>
      <c r="L205" s="348">
        <v>0</v>
      </c>
      <c r="M205" s="334">
        <v>0</v>
      </c>
      <c r="N205" s="351">
        <v>0</v>
      </c>
      <c r="O205" s="334">
        <v>0</v>
      </c>
      <c r="P205" s="334">
        <v>0</v>
      </c>
      <c r="Q205" s="334">
        <v>0</v>
      </c>
      <c r="R205" s="343">
        <v>0</v>
      </c>
    </row>
    <row r="206" spans="1:18" x14ac:dyDescent="0.25">
      <c r="A206" s="236" t="s">
        <v>316</v>
      </c>
      <c r="B206" s="358">
        <v>57.41</v>
      </c>
      <c r="C206" s="334">
        <v>47.58</v>
      </c>
      <c r="D206" s="334">
        <v>190.05</v>
      </c>
      <c r="E206" s="334">
        <v>60.23</v>
      </c>
      <c r="F206" s="334">
        <v>88.44</v>
      </c>
      <c r="G206" s="334">
        <v>15.27</v>
      </c>
      <c r="H206" s="334">
        <v>88.77</v>
      </c>
      <c r="I206" s="334">
        <v>0</v>
      </c>
      <c r="J206" s="334">
        <v>2357.25</v>
      </c>
      <c r="K206" s="334">
        <v>0</v>
      </c>
      <c r="L206" s="348">
        <v>0</v>
      </c>
      <c r="M206" s="334">
        <v>0</v>
      </c>
      <c r="N206" s="351">
        <v>0</v>
      </c>
      <c r="O206" s="334">
        <v>0</v>
      </c>
      <c r="P206" s="334">
        <v>0</v>
      </c>
      <c r="Q206" s="334">
        <v>0</v>
      </c>
      <c r="R206" s="343">
        <v>0</v>
      </c>
    </row>
    <row r="207" spans="1:18" x14ac:dyDescent="0.25">
      <c r="A207" s="236" t="s">
        <v>317</v>
      </c>
      <c r="B207" s="358">
        <v>50.65</v>
      </c>
      <c r="C207" s="334">
        <v>47.29</v>
      </c>
      <c r="D207" s="334">
        <v>171.4</v>
      </c>
      <c r="E207" s="334">
        <v>43.53</v>
      </c>
      <c r="F207" s="334">
        <v>68.900000000000006</v>
      </c>
      <c r="G207" s="334">
        <v>0</v>
      </c>
      <c r="H207" s="334">
        <v>91.93</v>
      </c>
      <c r="I207" s="334">
        <v>0</v>
      </c>
      <c r="J207" s="334">
        <v>0</v>
      </c>
      <c r="K207" s="334">
        <v>0</v>
      </c>
      <c r="L207" s="348">
        <v>0</v>
      </c>
      <c r="M207" s="334">
        <v>0</v>
      </c>
      <c r="N207" s="351">
        <v>0</v>
      </c>
      <c r="O207" s="334">
        <v>0</v>
      </c>
      <c r="P207" s="334">
        <v>0</v>
      </c>
      <c r="Q207" s="334">
        <v>0</v>
      </c>
      <c r="R207" s="343">
        <v>0</v>
      </c>
    </row>
    <row r="208" spans="1:18" x14ac:dyDescent="0.25">
      <c r="A208" s="236" t="s">
        <v>318</v>
      </c>
      <c r="B208" s="358">
        <v>60.59</v>
      </c>
      <c r="C208" s="334">
        <v>48.83</v>
      </c>
      <c r="D208" s="334">
        <v>201.61</v>
      </c>
      <c r="E208" s="334">
        <v>61.27</v>
      </c>
      <c r="F208" s="334">
        <v>91.8</v>
      </c>
      <c r="G208" s="334">
        <v>15.27</v>
      </c>
      <c r="H208" s="334">
        <v>88.77</v>
      </c>
      <c r="I208" s="334">
        <v>0</v>
      </c>
      <c r="J208" s="334">
        <v>2239</v>
      </c>
      <c r="K208" s="334">
        <v>0</v>
      </c>
      <c r="L208" s="348">
        <v>0</v>
      </c>
      <c r="M208" s="334">
        <v>0</v>
      </c>
      <c r="N208" s="351">
        <v>0</v>
      </c>
      <c r="O208" s="334">
        <v>0</v>
      </c>
      <c r="P208" s="334">
        <v>0</v>
      </c>
      <c r="Q208" s="334">
        <v>0</v>
      </c>
      <c r="R208" s="343">
        <v>0</v>
      </c>
    </row>
    <row r="209" spans="1:18" x14ac:dyDescent="0.25">
      <c r="A209" s="236" t="s">
        <v>319</v>
      </c>
      <c r="B209" s="358">
        <v>39.909999999999997</v>
      </c>
      <c r="C209" s="334">
        <v>27.39</v>
      </c>
      <c r="D209" s="334">
        <v>0</v>
      </c>
      <c r="E209" s="334">
        <v>44.82</v>
      </c>
      <c r="F209" s="334">
        <v>54.46</v>
      </c>
      <c r="G209" s="334">
        <v>14.25</v>
      </c>
      <c r="H209" s="334">
        <v>39.35</v>
      </c>
      <c r="I209" s="334">
        <v>1783.09</v>
      </c>
      <c r="J209" s="334">
        <v>1873.2</v>
      </c>
      <c r="K209" s="334">
        <v>1764.33</v>
      </c>
      <c r="L209" s="348">
        <v>0</v>
      </c>
      <c r="M209" s="334">
        <v>975</v>
      </c>
      <c r="N209" s="351">
        <v>0</v>
      </c>
      <c r="O209" s="334">
        <v>0</v>
      </c>
      <c r="P209" s="334">
        <v>0</v>
      </c>
      <c r="Q209" s="334">
        <v>1764.33</v>
      </c>
      <c r="R209" s="342">
        <v>1764.33</v>
      </c>
    </row>
    <row r="210" spans="1:18" x14ac:dyDescent="0.25">
      <c r="A210" s="236" t="s">
        <v>320</v>
      </c>
      <c r="B210" s="358">
        <v>27.85</v>
      </c>
      <c r="C210" s="334">
        <v>0</v>
      </c>
      <c r="D210" s="334">
        <v>105.42</v>
      </c>
      <c r="E210" s="334">
        <v>28.77</v>
      </c>
      <c r="F210" s="334">
        <v>47.6</v>
      </c>
      <c r="G210" s="334">
        <v>0</v>
      </c>
      <c r="H210" s="334">
        <v>42.6</v>
      </c>
      <c r="I210" s="334">
        <v>0</v>
      </c>
      <c r="J210" s="334">
        <v>1339.53</v>
      </c>
      <c r="K210" s="334">
        <v>0</v>
      </c>
      <c r="L210" s="348">
        <v>0</v>
      </c>
      <c r="M210" s="334">
        <v>827.49</v>
      </c>
      <c r="N210" s="351">
        <v>0</v>
      </c>
      <c r="O210" s="334">
        <v>0</v>
      </c>
      <c r="P210" s="334">
        <v>0</v>
      </c>
      <c r="Q210" s="334">
        <v>0</v>
      </c>
      <c r="R210" s="342">
        <v>0</v>
      </c>
    </row>
    <row r="211" spans="1:18" x14ac:dyDescent="0.25">
      <c r="A211" s="236" t="s">
        <v>321</v>
      </c>
      <c r="B211" s="358">
        <v>60.09</v>
      </c>
      <c r="C211" s="334">
        <v>42.16</v>
      </c>
      <c r="D211" s="334">
        <v>159.4</v>
      </c>
      <c r="E211" s="334">
        <v>43.53</v>
      </c>
      <c r="F211" s="334">
        <v>69.8</v>
      </c>
      <c r="G211" s="334">
        <v>0</v>
      </c>
      <c r="H211" s="334">
        <v>88.95</v>
      </c>
      <c r="I211" s="334">
        <v>0</v>
      </c>
      <c r="J211" s="334">
        <v>2515.67</v>
      </c>
      <c r="K211" s="334">
        <v>0</v>
      </c>
      <c r="L211" s="348">
        <v>0</v>
      </c>
      <c r="M211" s="334">
        <v>0</v>
      </c>
      <c r="N211" s="351">
        <v>0</v>
      </c>
      <c r="O211" s="334">
        <v>0</v>
      </c>
      <c r="P211" s="334">
        <v>0</v>
      </c>
      <c r="Q211" s="334">
        <v>0</v>
      </c>
      <c r="R211" s="342">
        <v>0</v>
      </c>
    </row>
    <row r="212" spans="1:18" x14ac:dyDescent="0.25">
      <c r="A212" s="236" t="s">
        <v>322</v>
      </c>
      <c r="B212" s="358">
        <v>59.12</v>
      </c>
      <c r="C212" s="334">
        <v>44.55</v>
      </c>
      <c r="D212" s="334">
        <v>184.1</v>
      </c>
      <c r="E212" s="334">
        <v>60.27</v>
      </c>
      <c r="F212" s="334">
        <v>84.86</v>
      </c>
      <c r="G212" s="334">
        <v>15.27</v>
      </c>
      <c r="H212" s="334">
        <v>83.93</v>
      </c>
      <c r="I212" s="334">
        <v>1946.44</v>
      </c>
      <c r="J212" s="334">
        <v>2298</v>
      </c>
      <c r="K212" s="334">
        <v>0</v>
      </c>
      <c r="L212" s="348">
        <v>0</v>
      </c>
      <c r="M212" s="334">
        <v>0</v>
      </c>
      <c r="N212" s="351">
        <v>0</v>
      </c>
      <c r="O212" s="334">
        <v>0</v>
      </c>
      <c r="P212" s="334">
        <v>0</v>
      </c>
      <c r="Q212" s="334">
        <v>0</v>
      </c>
      <c r="R212" s="342">
        <v>0</v>
      </c>
    </row>
    <row r="213" spans="1:18" x14ac:dyDescent="0.25">
      <c r="A213" s="236" t="s">
        <v>323</v>
      </c>
      <c r="B213" s="358">
        <v>63.71</v>
      </c>
      <c r="C213" s="334">
        <v>50.17</v>
      </c>
      <c r="D213" s="334">
        <v>190.91</v>
      </c>
      <c r="E213" s="334">
        <v>54.23</v>
      </c>
      <c r="F213" s="334">
        <v>101.3</v>
      </c>
      <c r="G213" s="334">
        <v>14.57</v>
      </c>
      <c r="H213" s="334">
        <v>84.87</v>
      </c>
      <c r="I213" s="334">
        <v>0</v>
      </c>
      <c r="J213" s="334">
        <v>2213.33</v>
      </c>
      <c r="K213" s="334">
        <v>0</v>
      </c>
      <c r="L213" s="348">
        <v>0</v>
      </c>
      <c r="M213" s="334">
        <v>0</v>
      </c>
      <c r="N213" s="351">
        <v>0</v>
      </c>
      <c r="O213" s="334">
        <v>0</v>
      </c>
      <c r="P213" s="334">
        <v>0</v>
      </c>
      <c r="Q213" s="334">
        <v>0</v>
      </c>
      <c r="R213" s="343">
        <v>0</v>
      </c>
    </row>
    <row r="214" spans="1:18" x14ac:dyDescent="0.25">
      <c r="A214" s="236" t="s">
        <v>324</v>
      </c>
      <c r="B214" s="358">
        <v>37.67</v>
      </c>
      <c r="C214" s="334">
        <v>30.91</v>
      </c>
      <c r="D214" s="334">
        <v>97.72</v>
      </c>
      <c r="E214" s="334">
        <v>49.17</v>
      </c>
      <c r="F214" s="334">
        <v>49.6</v>
      </c>
      <c r="G214" s="334">
        <v>15.93</v>
      </c>
      <c r="H214" s="334">
        <v>55.34</v>
      </c>
      <c r="I214" s="334">
        <v>1946.44</v>
      </c>
      <c r="J214" s="334">
        <v>1944.48</v>
      </c>
      <c r="K214" s="334">
        <v>1676</v>
      </c>
      <c r="L214" s="348">
        <v>0</v>
      </c>
      <c r="M214" s="334">
        <v>0</v>
      </c>
      <c r="N214" s="351">
        <v>0</v>
      </c>
      <c r="O214" s="334">
        <v>0</v>
      </c>
      <c r="P214" s="334">
        <v>0</v>
      </c>
      <c r="Q214" s="334">
        <v>1824.67</v>
      </c>
      <c r="R214" s="339">
        <v>1676</v>
      </c>
    </row>
    <row r="215" spans="1:18" x14ac:dyDescent="0.25">
      <c r="A215" s="236" t="s">
        <v>325</v>
      </c>
      <c r="B215" s="358">
        <v>67.89</v>
      </c>
      <c r="C215" s="334">
        <v>43.92</v>
      </c>
      <c r="D215" s="334">
        <v>157.52000000000001</v>
      </c>
      <c r="E215" s="334">
        <v>43.53</v>
      </c>
      <c r="F215" s="334">
        <v>72.25</v>
      </c>
      <c r="G215" s="334">
        <v>0</v>
      </c>
      <c r="H215" s="334">
        <v>109.88</v>
      </c>
      <c r="I215" s="334">
        <v>0</v>
      </c>
      <c r="J215" s="334">
        <v>2027.07</v>
      </c>
      <c r="K215" s="334">
        <v>0</v>
      </c>
      <c r="L215" s="334">
        <v>0</v>
      </c>
      <c r="M215" s="334">
        <v>0</v>
      </c>
      <c r="N215" s="351">
        <v>0</v>
      </c>
      <c r="O215" s="334">
        <v>0</v>
      </c>
      <c r="P215" s="334">
        <v>0</v>
      </c>
      <c r="Q215" s="334">
        <v>0</v>
      </c>
      <c r="R215" s="339">
        <v>0</v>
      </c>
    </row>
    <row r="216" spans="1:18" x14ac:dyDescent="0.25">
      <c r="A216" s="236" t="s">
        <v>326</v>
      </c>
      <c r="B216" s="358">
        <v>62.35</v>
      </c>
      <c r="C216" s="334">
        <v>42.84</v>
      </c>
      <c r="D216" s="334">
        <v>172.67</v>
      </c>
      <c r="E216" s="334">
        <v>60.37</v>
      </c>
      <c r="F216" s="334">
        <v>98.21</v>
      </c>
      <c r="G216" s="334">
        <v>14.23</v>
      </c>
      <c r="H216" s="334">
        <v>75.599999999999994</v>
      </c>
      <c r="I216" s="334">
        <v>0</v>
      </c>
      <c r="J216" s="334">
        <v>2373.3200000000002</v>
      </c>
      <c r="K216" s="334">
        <v>1883.68</v>
      </c>
      <c r="L216" s="334">
        <v>0</v>
      </c>
      <c r="M216" s="334">
        <v>0</v>
      </c>
      <c r="N216" s="351">
        <v>0</v>
      </c>
      <c r="O216" s="334">
        <v>0</v>
      </c>
      <c r="P216" s="334">
        <v>0</v>
      </c>
      <c r="Q216" s="334">
        <v>0</v>
      </c>
      <c r="R216" s="339">
        <v>0</v>
      </c>
    </row>
    <row r="217" spans="1:18" x14ac:dyDescent="0.25">
      <c r="A217" s="236" t="s">
        <v>327</v>
      </c>
      <c r="B217" s="358">
        <v>30</v>
      </c>
      <c r="C217" s="334">
        <v>21.96</v>
      </c>
      <c r="D217" s="334">
        <v>147.78</v>
      </c>
      <c r="E217" s="334">
        <v>28</v>
      </c>
      <c r="F217" s="334">
        <v>44.67</v>
      </c>
      <c r="G217" s="334">
        <v>0</v>
      </c>
      <c r="H217" s="334">
        <v>42.13</v>
      </c>
      <c r="I217" s="334">
        <v>0</v>
      </c>
      <c r="J217" s="334">
        <v>1055.33</v>
      </c>
      <c r="K217" s="334">
        <v>0</v>
      </c>
      <c r="L217" s="334">
        <v>0</v>
      </c>
      <c r="M217" s="334">
        <v>848</v>
      </c>
      <c r="N217" s="351">
        <v>0</v>
      </c>
      <c r="O217" s="334">
        <v>0</v>
      </c>
      <c r="P217" s="334">
        <v>0</v>
      </c>
      <c r="Q217" s="334">
        <v>0</v>
      </c>
      <c r="R217" s="343">
        <v>0</v>
      </c>
    </row>
    <row r="218" spans="1:18" x14ac:dyDescent="0.25">
      <c r="A218" s="236" t="s">
        <v>328</v>
      </c>
      <c r="B218" s="358">
        <v>56.8</v>
      </c>
      <c r="C218" s="334">
        <v>45.46</v>
      </c>
      <c r="D218" s="334">
        <v>181.83</v>
      </c>
      <c r="E218" s="334">
        <v>55</v>
      </c>
      <c r="F218" s="334">
        <v>96.57</v>
      </c>
      <c r="G218" s="334">
        <v>14</v>
      </c>
      <c r="H218" s="334">
        <v>90.36</v>
      </c>
      <c r="I218" s="334">
        <v>1946.44</v>
      </c>
      <c r="J218" s="334">
        <v>2546.62</v>
      </c>
      <c r="K218" s="334">
        <v>2365.67</v>
      </c>
      <c r="L218" s="334">
        <v>0</v>
      </c>
      <c r="M218" s="334">
        <v>0</v>
      </c>
      <c r="N218" s="351">
        <v>0</v>
      </c>
      <c r="O218" s="334">
        <v>0</v>
      </c>
      <c r="P218" s="334">
        <v>0</v>
      </c>
      <c r="Q218" s="334">
        <v>0</v>
      </c>
      <c r="R218" s="343">
        <v>0</v>
      </c>
    </row>
    <row r="219" spans="1:18" x14ac:dyDescent="0.25">
      <c r="A219" s="236" t="s">
        <v>329</v>
      </c>
      <c r="B219" s="358">
        <v>50.77</v>
      </c>
      <c r="C219" s="334">
        <v>46.14</v>
      </c>
      <c r="D219" s="334">
        <v>187.91</v>
      </c>
      <c r="E219" s="334">
        <v>55.73</v>
      </c>
      <c r="F219" s="334">
        <v>82.13</v>
      </c>
      <c r="G219" s="334">
        <v>17.07</v>
      </c>
      <c r="H219" s="334">
        <v>84.07</v>
      </c>
      <c r="I219" s="334">
        <v>0</v>
      </c>
      <c r="J219" s="334">
        <v>2263.67</v>
      </c>
      <c r="K219" s="334">
        <v>0</v>
      </c>
      <c r="L219" s="334">
        <v>0</v>
      </c>
      <c r="M219" s="334">
        <v>0</v>
      </c>
      <c r="N219" s="351">
        <v>0</v>
      </c>
      <c r="O219" s="334">
        <v>0</v>
      </c>
      <c r="P219" s="334">
        <v>0</v>
      </c>
      <c r="Q219" s="334">
        <v>0</v>
      </c>
      <c r="R219" s="339">
        <v>0</v>
      </c>
    </row>
    <row r="220" spans="1:18" x14ac:dyDescent="0.25">
      <c r="A220" s="236" t="s">
        <v>330</v>
      </c>
      <c r="B220" s="358">
        <v>58.91</v>
      </c>
      <c r="C220" s="334">
        <v>40.71</v>
      </c>
      <c r="D220" s="334">
        <v>124.85</v>
      </c>
      <c r="E220" s="334">
        <v>38.43</v>
      </c>
      <c r="F220" s="334">
        <v>82.01</v>
      </c>
      <c r="G220" s="334">
        <v>0</v>
      </c>
      <c r="H220" s="334">
        <v>76.66</v>
      </c>
      <c r="I220" s="334">
        <v>0</v>
      </c>
      <c r="J220" s="334">
        <v>1752.11</v>
      </c>
      <c r="K220" s="334">
        <v>2169.5</v>
      </c>
      <c r="L220" s="334">
        <v>0</v>
      </c>
      <c r="M220" s="334">
        <v>0</v>
      </c>
      <c r="N220" s="351">
        <v>0</v>
      </c>
      <c r="O220" s="334">
        <v>0</v>
      </c>
      <c r="P220" s="334">
        <v>0</v>
      </c>
      <c r="Q220" s="334">
        <v>0</v>
      </c>
      <c r="R220" s="339">
        <v>0</v>
      </c>
    </row>
    <row r="221" spans="1:18" x14ac:dyDescent="0.25">
      <c r="A221" s="236" t="s">
        <v>331</v>
      </c>
      <c r="B221" s="358">
        <v>43.86</v>
      </c>
      <c r="C221" s="334">
        <v>26.57</v>
      </c>
      <c r="D221" s="334">
        <v>70.680000000000007</v>
      </c>
      <c r="E221" s="334">
        <v>53.07</v>
      </c>
      <c r="F221" s="334">
        <v>53.65</v>
      </c>
      <c r="G221" s="334">
        <v>0</v>
      </c>
      <c r="H221" s="334">
        <v>49.82</v>
      </c>
      <c r="I221" s="334">
        <v>0</v>
      </c>
      <c r="J221" s="334">
        <v>1369.25</v>
      </c>
      <c r="K221" s="334">
        <v>1816.91</v>
      </c>
      <c r="L221" s="334">
        <v>0</v>
      </c>
      <c r="M221" s="334">
        <v>1021.23</v>
      </c>
      <c r="N221" s="352">
        <v>0</v>
      </c>
      <c r="O221" s="334">
        <v>0</v>
      </c>
      <c r="P221" s="334">
        <v>0</v>
      </c>
      <c r="Q221" s="334">
        <v>0</v>
      </c>
      <c r="R221" s="339">
        <v>0</v>
      </c>
    </row>
    <row r="222" spans="1:18" x14ac:dyDescent="0.25">
      <c r="A222" s="236" t="s">
        <v>332</v>
      </c>
      <c r="B222" s="358">
        <v>62.11</v>
      </c>
      <c r="C222" s="334">
        <v>55.76</v>
      </c>
      <c r="D222" s="334">
        <v>203.05</v>
      </c>
      <c r="E222" s="334">
        <v>59</v>
      </c>
      <c r="F222" s="334">
        <v>102.86</v>
      </c>
      <c r="G222" s="334">
        <v>0</v>
      </c>
      <c r="H222" s="334">
        <v>89.7</v>
      </c>
      <c r="I222" s="334">
        <v>0</v>
      </c>
      <c r="J222" s="334">
        <v>2274.67</v>
      </c>
      <c r="K222" s="334">
        <v>0</v>
      </c>
      <c r="L222" s="334">
        <v>0</v>
      </c>
      <c r="M222" s="334">
        <v>0</v>
      </c>
      <c r="N222" s="352">
        <v>0</v>
      </c>
      <c r="O222" s="334">
        <v>0</v>
      </c>
      <c r="P222" s="334">
        <v>0</v>
      </c>
      <c r="Q222" s="334">
        <v>0</v>
      </c>
      <c r="R222" s="342">
        <v>0</v>
      </c>
    </row>
    <row r="223" spans="1:18" x14ac:dyDescent="0.25">
      <c r="A223" s="236" t="s">
        <v>333</v>
      </c>
      <c r="B223" s="358">
        <v>58.24</v>
      </c>
      <c r="C223" s="334">
        <v>44.63</v>
      </c>
      <c r="D223" s="334">
        <v>167.96</v>
      </c>
      <c r="E223" s="334">
        <v>54.8</v>
      </c>
      <c r="F223" s="334">
        <v>79.31</v>
      </c>
      <c r="G223" s="334">
        <v>0</v>
      </c>
      <c r="H223" s="334">
        <v>89.18</v>
      </c>
      <c r="I223" s="334">
        <v>0</v>
      </c>
      <c r="J223" s="334">
        <v>2042.47</v>
      </c>
      <c r="K223" s="334">
        <v>2422.67</v>
      </c>
      <c r="L223" s="334">
        <v>0</v>
      </c>
      <c r="M223" s="334">
        <v>0</v>
      </c>
      <c r="N223" s="352">
        <v>0</v>
      </c>
      <c r="O223" s="334">
        <v>0</v>
      </c>
      <c r="P223" s="334">
        <v>0</v>
      </c>
      <c r="Q223" s="334">
        <v>0</v>
      </c>
      <c r="R223" s="342">
        <v>0</v>
      </c>
    </row>
    <row r="224" spans="1:18" x14ac:dyDescent="0.25">
      <c r="A224" s="236" t="s">
        <v>334</v>
      </c>
      <c r="B224" s="358">
        <v>56.72</v>
      </c>
      <c r="C224" s="334">
        <v>45.81</v>
      </c>
      <c r="D224" s="334">
        <v>174.51</v>
      </c>
      <c r="E224" s="334">
        <v>43.53</v>
      </c>
      <c r="F224" s="334">
        <v>77.900000000000006</v>
      </c>
      <c r="G224" s="334">
        <v>0</v>
      </c>
      <c r="H224" s="334">
        <v>91.13</v>
      </c>
      <c r="I224" s="334">
        <v>0</v>
      </c>
      <c r="J224" s="334">
        <v>2530.33</v>
      </c>
      <c r="K224" s="334">
        <v>0</v>
      </c>
      <c r="L224" s="334">
        <v>0</v>
      </c>
      <c r="M224" s="334">
        <v>0</v>
      </c>
      <c r="N224" s="352">
        <v>0</v>
      </c>
      <c r="O224" s="334">
        <v>0</v>
      </c>
      <c r="P224" s="334">
        <v>0</v>
      </c>
      <c r="Q224" s="334">
        <v>0</v>
      </c>
      <c r="R224" s="342">
        <v>0</v>
      </c>
    </row>
    <row r="225" spans="1:18" x14ac:dyDescent="0.25">
      <c r="A225" s="236" t="s">
        <v>335</v>
      </c>
      <c r="B225" s="358">
        <v>34.049999999999997</v>
      </c>
      <c r="C225" s="334">
        <v>21.11</v>
      </c>
      <c r="D225" s="334">
        <v>62.54</v>
      </c>
      <c r="E225" s="334">
        <v>35.01</v>
      </c>
      <c r="F225" s="334">
        <v>51.09</v>
      </c>
      <c r="G225" s="334">
        <v>17.37</v>
      </c>
      <c r="H225" s="334">
        <v>40.35</v>
      </c>
      <c r="I225" s="334">
        <v>1783.09</v>
      </c>
      <c r="J225" s="334">
        <v>1496.97</v>
      </c>
      <c r="K225" s="334">
        <v>1726</v>
      </c>
      <c r="L225" s="334">
        <v>1726</v>
      </c>
      <c r="M225" s="334">
        <v>982.27</v>
      </c>
      <c r="N225" s="352">
        <v>0</v>
      </c>
      <c r="O225" s="334">
        <v>0</v>
      </c>
      <c r="P225" s="334">
        <v>0</v>
      </c>
      <c r="Q225" s="334">
        <v>1726</v>
      </c>
      <c r="R225" s="342">
        <v>1726</v>
      </c>
    </row>
    <row r="226" spans="1:18" x14ac:dyDescent="0.25">
      <c r="A226" s="236" t="s">
        <v>336</v>
      </c>
      <c r="B226" s="358">
        <v>51.75</v>
      </c>
      <c r="C226" s="334">
        <v>35.799999999999997</v>
      </c>
      <c r="D226" s="334">
        <v>123.39</v>
      </c>
      <c r="E226" s="334">
        <v>39.47</v>
      </c>
      <c r="F226" s="334">
        <v>61.55</v>
      </c>
      <c r="G226" s="334">
        <v>15.77</v>
      </c>
      <c r="H226" s="334">
        <v>93.16</v>
      </c>
      <c r="I226" s="334">
        <v>1946.44</v>
      </c>
      <c r="J226" s="334">
        <v>2066.7600000000002</v>
      </c>
      <c r="K226" s="334">
        <v>1908.35</v>
      </c>
      <c r="L226" s="334">
        <v>0</v>
      </c>
      <c r="M226" s="334">
        <v>0</v>
      </c>
      <c r="N226" s="352">
        <v>0</v>
      </c>
      <c r="O226" s="334">
        <v>0</v>
      </c>
      <c r="P226" s="334">
        <v>0</v>
      </c>
      <c r="Q226" s="334">
        <v>2252.67</v>
      </c>
      <c r="R226" s="342">
        <v>2252.67</v>
      </c>
    </row>
    <row r="227" spans="1:18" x14ac:dyDescent="0.25">
      <c r="A227" s="236" t="s">
        <v>337</v>
      </c>
      <c r="B227" s="358">
        <v>63</v>
      </c>
      <c r="C227" s="334">
        <v>41.63</v>
      </c>
      <c r="D227" s="334">
        <v>159.99</v>
      </c>
      <c r="E227" s="334">
        <v>43.53</v>
      </c>
      <c r="F227" s="334">
        <v>73.36</v>
      </c>
      <c r="G227" s="334">
        <v>0</v>
      </c>
      <c r="H227" s="334">
        <v>92.1</v>
      </c>
      <c r="I227" s="334">
        <v>0</v>
      </c>
      <c r="J227" s="334">
        <v>2423.4</v>
      </c>
      <c r="K227" s="334">
        <v>0</v>
      </c>
      <c r="L227" s="334">
        <v>0</v>
      </c>
      <c r="M227" s="334">
        <v>0</v>
      </c>
      <c r="N227" s="352">
        <v>0</v>
      </c>
      <c r="O227" s="334">
        <v>0</v>
      </c>
      <c r="P227" s="334">
        <v>0</v>
      </c>
      <c r="Q227" s="334">
        <v>1728.77</v>
      </c>
      <c r="R227" s="342">
        <v>0</v>
      </c>
    </row>
    <row r="228" spans="1:18" x14ac:dyDescent="0.25">
      <c r="A228" s="236" t="s">
        <v>338</v>
      </c>
      <c r="B228" s="358">
        <v>56.05</v>
      </c>
      <c r="C228" s="334">
        <v>45.54</v>
      </c>
      <c r="D228" s="334">
        <v>154.84</v>
      </c>
      <c r="E228" s="334">
        <v>51.27</v>
      </c>
      <c r="F228" s="334">
        <v>83.08</v>
      </c>
      <c r="G228" s="334">
        <v>0</v>
      </c>
      <c r="H228" s="334">
        <v>97.52</v>
      </c>
      <c r="I228" s="334">
        <v>1946.44</v>
      </c>
      <c r="J228" s="334">
        <v>2271.4699999999998</v>
      </c>
      <c r="K228" s="334">
        <v>0</v>
      </c>
      <c r="L228" s="334">
        <v>0</v>
      </c>
      <c r="M228" s="334">
        <v>0</v>
      </c>
      <c r="N228" s="352">
        <v>0</v>
      </c>
      <c r="O228" s="334">
        <v>0</v>
      </c>
      <c r="P228" s="334">
        <v>0</v>
      </c>
      <c r="Q228" s="334">
        <v>0</v>
      </c>
      <c r="R228" s="342">
        <v>0</v>
      </c>
    </row>
    <row r="229" spans="1:18" x14ac:dyDescent="0.25">
      <c r="A229" s="236" t="s">
        <v>339</v>
      </c>
      <c r="B229" s="358">
        <v>40.21</v>
      </c>
      <c r="C229" s="334">
        <v>19.43</v>
      </c>
      <c r="D229" s="334">
        <v>59.28</v>
      </c>
      <c r="E229" s="334">
        <v>50.7</v>
      </c>
      <c r="F229" s="334">
        <v>54.76</v>
      </c>
      <c r="G229" s="334">
        <v>0</v>
      </c>
      <c r="H229" s="334">
        <v>40.380000000000003</v>
      </c>
      <c r="I229" s="334">
        <v>0</v>
      </c>
      <c r="J229" s="334">
        <v>1453.09</v>
      </c>
      <c r="K229" s="334">
        <v>0</v>
      </c>
      <c r="L229" s="334">
        <v>0</v>
      </c>
      <c r="M229" s="334">
        <v>927.67</v>
      </c>
      <c r="N229" s="352">
        <v>0</v>
      </c>
      <c r="O229" s="334">
        <v>0</v>
      </c>
      <c r="P229" s="334">
        <v>0</v>
      </c>
      <c r="Q229" s="334">
        <v>0</v>
      </c>
      <c r="R229" s="342">
        <v>0</v>
      </c>
    </row>
    <row r="230" spans="1:18" x14ac:dyDescent="0.25">
      <c r="A230" s="236" t="s">
        <v>340</v>
      </c>
      <c r="B230" s="358">
        <v>60.64</v>
      </c>
      <c r="C230" s="334">
        <v>46.2</v>
      </c>
      <c r="D230" s="334">
        <v>151.82</v>
      </c>
      <c r="E230" s="334">
        <v>54.4</v>
      </c>
      <c r="F230" s="334">
        <v>86.39</v>
      </c>
      <c r="G230" s="334">
        <v>0</v>
      </c>
      <c r="H230" s="334">
        <v>84.16</v>
      </c>
      <c r="I230" s="334">
        <v>0</v>
      </c>
      <c r="J230" s="334">
        <v>1978.8</v>
      </c>
      <c r="K230" s="334">
        <v>2294.33</v>
      </c>
      <c r="L230" s="334">
        <v>0</v>
      </c>
      <c r="M230" s="334">
        <v>0</v>
      </c>
      <c r="N230" s="352">
        <v>0</v>
      </c>
      <c r="O230" s="334">
        <v>0</v>
      </c>
      <c r="P230" s="334">
        <v>0</v>
      </c>
      <c r="Q230" s="334">
        <v>0</v>
      </c>
      <c r="R230" s="344">
        <v>0</v>
      </c>
    </row>
    <row r="231" spans="1:18" x14ac:dyDescent="0.25">
      <c r="A231" s="236" t="s">
        <v>341</v>
      </c>
      <c r="B231" s="358">
        <v>43.61</v>
      </c>
      <c r="C231" s="334">
        <v>22.93</v>
      </c>
      <c r="D231" s="334">
        <v>77.959999999999994</v>
      </c>
      <c r="E231" s="334">
        <v>51.6</v>
      </c>
      <c r="F231" s="334">
        <v>82.38</v>
      </c>
      <c r="G231" s="334">
        <v>15.8</v>
      </c>
      <c r="H231" s="334">
        <v>66.23</v>
      </c>
      <c r="I231" s="334">
        <v>0</v>
      </c>
      <c r="J231" s="334">
        <v>1221.75</v>
      </c>
      <c r="K231" s="334">
        <v>2071</v>
      </c>
      <c r="L231" s="334">
        <v>0</v>
      </c>
      <c r="M231" s="334">
        <v>974.44</v>
      </c>
      <c r="N231" s="352">
        <v>0</v>
      </c>
      <c r="O231" s="334">
        <v>0</v>
      </c>
      <c r="P231" s="334">
        <v>0</v>
      </c>
      <c r="Q231" s="334">
        <v>0</v>
      </c>
      <c r="R231" s="344">
        <v>0</v>
      </c>
    </row>
    <row r="232" spans="1:18" x14ac:dyDescent="0.25">
      <c r="A232" s="236" t="s">
        <v>342</v>
      </c>
      <c r="B232" s="358">
        <v>52.94</v>
      </c>
      <c r="C232" s="334">
        <v>47.64</v>
      </c>
      <c r="D232" s="334">
        <v>179.35</v>
      </c>
      <c r="E232" s="334">
        <v>59.07</v>
      </c>
      <c r="F232" s="334">
        <v>85.01</v>
      </c>
      <c r="G232" s="334">
        <v>14.1</v>
      </c>
      <c r="H232" s="334">
        <v>92.84</v>
      </c>
      <c r="I232" s="334">
        <v>0</v>
      </c>
      <c r="J232" s="334">
        <v>2176.33</v>
      </c>
      <c r="K232" s="334">
        <v>0</v>
      </c>
      <c r="L232" s="334">
        <v>0</v>
      </c>
      <c r="M232" s="334">
        <v>0</v>
      </c>
      <c r="N232" s="352">
        <v>0</v>
      </c>
      <c r="O232" s="334">
        <v>0</v>
      </c>
      <c r="P232" s="334">
        <v>0</v>
      </c>
      <c r="Q232" s="334">
        <v>0</v>
      </c>
      <c r="R232" s="344">
        <v>0</v>
      </c>
    </row>
    <row r="233" spans="1:18" x14ac:dyDescent="0.25">
      <c r="A233" s="236" t="s">
        <v>343</v>
      </c>
      <c r="B233" s="358">
        <v>76.400000000000006</v>
      </c>
      <c r="C233" s="334">
        <v>52.37</v>
      </c>
      <c r="D233" s="334">
        <v>188.12</v>
      </c>
      <c r="E233" s="334">
        <v>44.27</v>
      </c>
      <c r="F233" s="334">
        <v>76.92</v>
      </c>
      <c r="G233" s="334">
        <v>14.1</v>
      </c>
      <c r="H233" s="334">
        <v>97.3</v>
      </c>
      <c r="I233" s="334">
        <v>0</v>
      </c>
      <c r="J233" s="334">
        <v>2184.33</v>
      </c>
      <c r="K233" s="334">
        <v>0</v>
      </c>
      <c r="L233" s="334">
        <v>0</v>
      </c>
      <c r="M233" s="334">
        <v>0</v>
      </c>
      <c r="N233" s="351">
        <v>0</v>
      </c>
      <c r="O233" s="334">
        <v>0</v>
      </c>
      <c r="P233" s="334">
        <v>0</v>
      </c>
      <c r="Q233" s="334">
        <v>0</v>
      </c>
      <c r="R233" s="344">
        <v>0</v>
      </c>
    </row>
    <row r="234" spans="1:18" x14ac:dyDescent="0.25">
      <c r="A234" s="236" t="s">
        <v>344</v>
      </c>
      <c r="B234" s="358">
        <v>42.87</v>
      </c>
      <c r="C234" s="334">
        <v>21.96</v>
      </c>
      <c r="D234" s="334">
        <v>177.47</v>
      </c>
      <c r="E234" s="334">
        <v>33.770000000000003</v>
      </c>
      <c r="F234" s="334">
        <v>52.5</v>
      </c>
      <c r="G234" s="334">
        <v>0</v>
      </c>
      <c r="H234" s="334">
        <v>35.409999999999997</v>
      </c>
      <c r="I234" s="334">
        <v>0</v>
      </c>
      <c r="J234" s="334">
        <v>1406.59</v>
      </c>
      <c r="K234" s="334">
        <v>0</v>
      </c>
      <c r="L234" s="334">
        <v>0</v>
      </c>
      <c r="M234" s="334">
        <v>0</v>
      </c>
      <c r="N234" s="351">
        <v>0</v>
      </c>
      <c r="O234" s="334">
        <v>0</v>
      </c>
      <c r="P234" s="334">
        <v>0</v>
      </c>
      <c r="Q234" s="334">
        <v>0</v>
      </c>
      <c r="R234" s="344">
        <v>0</v>
      </c>
    </row>
    <row r="235" spans="1:18" x14ac:dyDescent="0.25">
      <c r="A235" s="236" t="s">
        <v>345</v>
      </c>
      <c r="B235" s="358">
        <v>54.47</v>
      </c>
      <c r="C235" s="334">
        <v>47.75</v>
      </c>
      <c r="D235" s="334">
        <v>172.56</v>
      </c>
      <c r="E235" s="334">
        <v>43.53</v>
      </c>
      <c r="F235" s="334">
        <v>64.58</v>
      </c>
      <c r="G235" s="334">
        <v>0</v>
      </c>
      <c r="H235" s="334">
        <v>87.23</v>
      </c>
      <c r="I235" s="334">
        <v>0</v>
      </c>
      <c r="J235" s="334">
        <v>0</v>
      </c>
      <c r="K235" s="334">
        <v>0</v>
      </c>
      <c r="L235" s="334">
        <v>0</v>
      </c>
      <c r="M235" s="334">
        <v>0</v>
      </c>
      <c r="N235" s="351">
        <v>0</v>
      </c>
      <c r="O235" s="334">
        <v>0</v>
      </c>
      <c r="P235" s="334">
        <v>0</v>
      </c>
      <c r="Q235" s="334">
        <v>0</v>
      </c>
      <c r="R235" s="344">
        <v>0</v>
      </c>
    </row>
    <row r="236" spans="1:18" x14ac:dyDescent="0.25">
      <c r="A236" s="236" t="s">
        <v>346</v>
      </c>
      <c r="B236" s="358">
        <v>57.87</v>
      </c>
      <c r="C236" s="334">
        <v>29.08</v>
      </c>
      <c r="D236" s="334">
        <v>101.8</v>
      </c>
      <c r="E236" s="334">
        <v>37.97</v>
      </c>
      <c r="F236" s="334">
        <v>78.58</v>
      </c>
      <c r="G236" s="334">
        <v>15.77</v>
      </c>
      <c r="H236" s="334">
        <v>91.87</v>
      </c>
      <c r="I236" s="334">
        <v>1946.44</v>
      </c>
      <c r="J236" s="334">
        <v>1826.29</v>
      </c>
      <c r="K236" s="334">
        <v>2204</v>
      </c>
      <c r="L236" s="334">
        <v>0</v>
      </c>
      <c r="M236" s="334">
        <v>0</v>
      </c>
      <c r="N236" s="351">
        <v>0</v>
      </c>
      <c r="O236" s="334">
        <v>0</v>
      </c>
      <c r="P236" s="334">
        <v>0</v>
      </c>
      <c r="Q236" s="334">
        <v>2204</v>
      </c>
      <c r="R236" s="388">
        <v>2204</v>
      </c>
    </row>
    <row r="237" spans="1:18" x14ac:dyDescent="0.25">
      <c r="A237" s="236" t="s">
        <v>347</v>
      </c>
      <c r="B237" s="358">
        <v>55.51</v>
      </c>
      <c r="C237" s="334">
        <v>46.67</v>
      </c>
      <c r="D237" s="334">
        <v>186.27</v>
      </c>
      <c r="E237" s="334">
        <v>74.099999999999994</v>
      </c>
      <c r="F237" s="334">
        <v>79.680000000000007</v>
      </c>
      <c r="G237" s="334">
        <v>0</v>
      </c>
      <c r="H237" s="334">
        <v>86.17</v>
      </c>
      <c r="I237" s="334">
        <v>1946.44</v>
      </c>
      <c r="J237" s="334">
        <v>2157</v>
      </c>
      <c r="K237" s="334">
        <v>0</v>
      </c>
      <c r="L237" s="334">
        <v>0</v>
      </c>
      <c r="M237" s="334">
        <v>0</v>
      </c>
      <c r="N237" s="351">
        <v>0</v>
      </c>
      <c r="O237" s="334">
        <v>0</v>
      </c>
      <c r="P237" s="334">
        <v>0</v>
      </c>
      <c r="Q237" s="334">
        <v>0</v>
      </c>
      <c r="R237" s="344">
        <v>0</v>
      </c>
    </row>
    <row r="238" spans="1:18" x14ac:dyDescent="0.25">
      <c r="A238" s="236" t="s">
        <v>348</v>
      </c>
      <c r="B238" s="358">
        <v>59.82</v>
      </c>
      <c r="C238" s="334">
        <v>44.81</v>
      </c>
      <c r="D238" s="334">
        <v>163.19</v>
      </c>
      <c r="E238" s="334">
        <v>43.53</v>
      </c>
      <c r="F238" s="334">
        <v>74.37</v>
      </c>
      <c r="G238" s="334">
        <v>14</v>
      </c>
      <c r="H238" s="334">
        <v>91.7</v>
      </c>
      <c r="I238" s="334">
        <v>1946.44</v>
      </c>
      <c r="J238" s="334">
        <v>0</v>
      </c>
      <c r="K238" s="334">
        <v>0</v>
      </c>
      <c r="L238" s="334">
        <v>0</v>
      </c>
      <c r="M238" s="334">
        <v>0</v>
      </c>
      <c r="N238" s="351">
        <v>0</v>
      </c>
      <c r="O238" s="334">
        <v>0</v>
      </c>
      <c r="P238" s="334">
        <v>0</v>
      </c>
      <c r="Q238" s="334">
        <v>0</v>
      </c>
      <c r="R238" s="344">
        <v>0</v>
      </c>
    </row>
    <row r="239" spans="1:18" x14ac:dyDescent="0.25">
      <c r="A239" s="236" t="s">
        <v>349</v>
      </c>
      <c r="B239" s="358">
        <v>53.41</v>
      </c>
      <c r="C239" s="334">
        <v>36.049999999999997</v>
      </c>
      <c r="D239" s="334">
        <v>143.37</v>
      </c>
      <c r="E239" s="334">
        <v>61.47</v>
      </c>
      <c r="F239" s="334">
        <v>81.790000000000006</v>
      </c>
      <c r="G239" s="334">
        <v>14.2</v>
      </c>
      <c r="H239" s="334">
        <v>51</v>
      </c>
      <c r="I239" s="334">
        <v>1946.44</v>
      </c>
      <c r="J239" s="334">
        <v>2184.27</v>
      </c>
      <c r="K239" s="334">
        <v>1777.67</v>
      </c>
      <c r="L239" s="334">
        <v>0</v>
      </c>
      <c r="M239" s="334">
        <v>0</v>
      </c>
      <c r="N239" s="351">
        <v>0</v>
      </c>
      <c r="O239" s="334">
        <v>0</v>
      </c>
      <c r="P239" s="334">
        <v>0</v>
      </c>
      <c r="Q239" s="334">
        <v>0</v>
      </c>
      <c r="R239" s="344">
        <v>0</v>
      </c>
    </row>
    <row r="240" spans="1:18" x14ac:dyDescent="0.25">
      <c r="A240" s="236" t="s">
        <v>350</v>
      </c>
      <c r="B240" s="358">
        <v>34.450000000000003</v>
      </c>
      <c r="C240" s="334">
        <v>19.510000000000002</v>
      </c>
      <c r="D240" s="334">
        <v>52.51</v>
      </c>
      <c r="E240" s="334">
        <v>39.03</v>
      </c>
      <c r="F240" s="334">
        <v>39.61</v>
      </c>
      <c r="G240" s="334">
        <v>0</v>
      </c>
      <c r="H240" s="334">
        <v>28.93</v>
      </c>
      <c r="I240" s="334">
        <v>1783.09</v>
      </c>
      <c r="J240" s="334">
        <v>1228.68</v>
      </c>
      <c r="K240" s="334">
        <v>1708.67</v>
      </c>
      <c r="L240" s="334">
        <v>0</v>
      </c>
      <c r="M240" s="334">
        <v>946.67</v>
      </c>
      <c r="N240" s="361">
        <v>0</v>
      </c>
      <c r="O240" s="334">
        <v>0</v>
      </c>
      <c r="P240" s="334">
        <v>0</v>
      </c>
      <c r="Q240" s="334">
        <v>0</v>
      </c>
      <c r="R240" s="342">
        <v>0</v>
      </c>
    </row>
    <row r="241" spans="1:18" x14ac:dyDescent="0.25">
      <c r="A241" s="236" t="s">
        <v>351</v>
      </c>
      <c r="B241" s="358">
        <v>35.409999999999997</v>
      </c>
      <c r="C241" s="334">
        <v>23.26</v>
      </c>
      <c r="D241" s="334">
        <v>62.44</v>
      </c>
      <c r="E241" s="334">
        <v>33.200000000000003</v>
      </c>
      <c r="F241" s="334">
        <v>55.72</v>
      </c>
      <c r="G241" s="334">
        <v>16</v>
      </c>
      <c r="H241" s="334">
        <v>63.86</v>
      </c>
      <c r="I241" s="334">
        <v>0</v>
      </c>
      <c r="J241" s="334">
        <v>1406.56</v>
      </c>
      <c r="K241" s="334">
        <v>0</v>
      </c>
      <c r="L241" s="348">
        <v>0</v>
      </c>
      <c r="M241" s="334">
        <v>0</v>
      </c>
      <c r="N241" s="351">
        <v>0</v>
      </c>
      <c r="O241" s="334">
        <v>0</v>
      </c>
      <c r="P241" s="334">
        <v>0</v>
      </c>
      <c r="Q241" s="334">
        <v>0</v>
      </c>
      <c r="R241" s="342">
        <v>0</v>
      </c>
    </row>
    <row r="242" spans="1:18" x14ac:dyDescent="0.25">
      <c r="A242" s="236" t="s">
        <v>352</v>
      </c>
      <c r="B242" s="358">
        <v>68.16</v>
      </c>
      <c r="C242" s="334">
        <v>39.89</v>
      </c>
      <c r="D242" s="334">
        <v>150.51</v>
      </c>
      <c r="E242" s="334">
        <v>58.43</v>
      </c>
      <c r="F242" s="334">
        <v>82.91</v>
      </c>
      <c r="G242" s="334">
        <v>14</v>
      </c>
      <c r="H242" s="334">
        <v>93.43</v>
      </c>
      <c r="I242" s="334">
        <v>0</v>
      </c>
      <c r="J242" s="334">
        <v>2220</v>
      </c>
      <c r="K242" s="334">
        <v>0</v>
      </c>
      <c r="L242" s="348">
        <v>0</v>
      </c>
      <c r="M242" s="334">
        <v>0</v>
      </c>
      <c r="N242" s="351">
        <v>0</v>
      </c>
      <c r="O242" s="334">
        <v>0</v>
      </c>
      <c r="P242" s="334">
        <v>0</v>
      </c>
      <c r="Q242" s="334">
        <v>0</v>
      </c>
      <c r="R242" s="344">
        <v>0</v>
      </c>
    </row>
    <row r="243" spans="1:18" x14ac:dyDescent="0.25">
      <c r="A243" s="236" t="s">
        <v>353</v>
      </c>
      <c r="B243" s="358">
        <v>59.59</v>
      </c>
      <c r="C243" s="334">
        <v>56.39</v>
      </c>
      <c r="D243" s="334">
        <v>193.32</v>
      </c>
      <c r="E243" s="334">
        <v>43.53</v>
      </c>
      <c r="F243" s="334">
        <v>82.5</v>
      </c>
      <c r="G243" s="334">
        <v>0</v>
      </c>
      <c r="H243" s="334">
        <v>91.73</v>
      </c>
      <c r="I243" s="334">
        <v>0</v>
      </c>
      <c r="J243" s="334">
        <v>0</v>
      </c>
      <c r="K243" s="334">
        <v>0</v>
      </c>
      <c r="L243" s="348">
        <v>0</v>
      </c>
      <c r="M243" s="334">
        <v>0</v>
      </c>
      <c r="N243" s="351">
        <v>0</v>
      </c>
      <c r="O243" s="334">
        <v>0</v>
      </c>
      <c r="P243" s="334">
        <v>0</v>
      </c>
      <c r="Q243" s="334">
        <v>0</v>
      </c>
      <c r="R243" s="344">
        <v>0</v>
      </c>
    </row>
    <row r="244" spans="1:18" x14ac:dyDescent="0.25">
      <c r="A244" s="236" t="s">
        <v>354</v>
      </c>
      <c r="B244" s="358">
        <v>57.92</v>
      </c>
      <c r="C244" s="334">
        <v>57.57</v>
      </c>
      <c r="D244" s="334">
        <v>201.5</v>
      </c>
      <c r="E244" s="334">
        <v>43.53</v>
      </c>
      <c r="F244" s="334">
        <v>88.53</v>
      </c>
      <c r="G244" s="334">
        <v>0</v>
      </c>
      <c r="H244" s="334">
        <v>94.17</v>
      </c>
      <c r="I244" s="334">
        <v>0</v>
      </c>
      <c r="J244" s="334">
        <v>0</v>
      </c>
      <c r="K244" s="334">
        <v>0</v>
      </c>
      <c r="L244" s="348">
        <v>0</v>
      </c>
      <c r="M244" s="334">
        <v>0</v>
      </c>
      <c r="N244" s="351">
        <v>0</v>
      </c>
      <c r="O244" s="334">
        <v>0</v>
      </c>
      <c r="P244" s="334">
        <v>0</v>
      </c>
      <c r="Q244" s="334">
        <v>0</v>
      </c>
      <c r="R244" s="344">
        <v>0</v>
      </c>
    </row>
    <row r="245" spans="1:18" x14ac:dyDescent="0.25">
      <c r="A245" s="236" t="s">
        <v>355</v>
      </c>
      <c r="B245" s="358">
        <v>31.3</v>
      </c>
      <c r="C245" s="334">
        <v>27.73</v>
      </c>
      <c r="D245" s="334">
        <v>54.2</v>
      </c>
      <c r="E245" s="334">
        <v>49.53</v>
      </c>
      <c r="F245" s="334">
        <v>60.63</v>
      </c>
      <c r="G245" s="334">
        <v>0</v>
      </c>
      <c r="H245" s="334">
        <v>37.67</v>
      </c>
      <c r="I245" s="334">
        <v>0</v>
      </c>
      <c r="J245" s="334">
        <v>1114</v>
      </c>
      <c r="K245" s="334">
        <v>1315.33</v>
      </c>
      <c r="L245" s="348">
        <v>0</v>
      </c>
      <c r="M245" s="334">
        <v>848</v>
      </c>
      <c r="N245" s="351">
        <v>0</v>
      </c>
      <c r="O245" s="334">
        <v>0</v>
      </c>
      <c r="P245" s="334">
        <v>0</v>
      </c>
      <c r="Q245" s="334">
        <v>0</v>
      </c>
      <c r="R245" s="344">
        <v>0</v>
      </c>
    </row>
    <row r="246" spans="1:18" x14ac:dyDescent="0.25">
      <c r="A246" s="236" t="s">
        <v>356</v>
      </c>
      <c r="B246" s="358">
        <v>43.7</v>
      </c>
      <c r="C246" s="334">
        <v>22.03</v>
      </c>
      <c r="D246" s="334">
        <v>65.09</v>
      </c>
      <c r="E246" s="334">
        <v>50.73</v>
      </c>
      <c r="F246" s="334">
        <v>52.7</v>
      </c>
      <c r="G246" s="334">
        <v>0</v>
      </c>
      <c r="H246" s="334">
        <v>41.97</v>
      </c>
      <c r="I246" s="334">
        <v>0</v>
      </c>
      <c r="J246" s="334">
        <v>1598.67</v>
      </c>
      <c r="K246" s="334">
        <v>0</v>
      </c>
      <c r="L246" s="348">
        <v>0</v>
      </c>
      <c r="M246" s="334">
        <v>804.78</v>
      </c>
      <c r="N246" s="361">
        <v>0</v>
      </c>
      <c r="O246" s="334">
        <v>0</v>
      </c>
      <c r="P246" s="334">
        <v>0</v>
      </c>
      <c r="Q246" s="334">
        <v>1459.33</v>
      </c>
      <c r="R246" s="344">
        <v>0</v>
      </c>
    </row>
    <row r="247" spans="1:18" x14ac:dyDescent="0.25">
      <c r="A247" s="236" t="s">
        <v>357</v>
      </c>
      <c r="B247" s="358">
        <v>38.17</v>
      </c>
      <c r="C247" s="334">
        <v>19.07</v>
      </c>
      <c r="D247" s="334">
        <v>66.5</v>
      </c>
      <c r="E247" s="334">
        <v>39.630000000000003</v>
      </c>
      <c r="F247" s="334">
        <v>50.43</v>
      </c>
      <c r="G247" s="334">
        <v>15.88</v>
      </c>
      <c r="H247" s="334">
        <v>40.229999999999997</v>
      </c>
      <c r="I247" s="334">
        <v>1783.09</v>
      </c>
      <c r="J247" s="334">
        <v>1573.73</v>
      </c>
      <c r="K247" s="334">
        <v>1768</v>
      </c>
      <c r="L247" s="334">
        <v>1793.33</v>
      </c>
      <c r="M247" s="334">
        <v>962.67</v>
      </c>
      <c r="N247" s="361">
        <v>577.04999999999995</v>
      </c>
      <c r="O247" s="334">
        <v>0</v>
      </c>
      <c r="P247" s="334">
        <v>0</v>
      </c>
      <c r="Q247" s="334">
        <v>1693.24</v>
      </c>
      <c r="R247" s="388">
        <v>1768</v>
      </c>
    </row>
    <row r="248" spans="1:18" x14ac:dyDescent="0.25">
      <c r="A248" s="236" t="s">
        <v>358</v>
      </c>
      <c r="B248" s="358">
        <v>61.3</v>
      </c>
      <c r="C248" s="334">
        <v>44.93</v>
      </c>
      <c r="D248" s="334">
        <v>154.54</v>
      </c>
      <c r="E248" s="334">
        <v>45.33</v>
      </c>
      <c r="F248" s="334">
        <v>90.15</v>
      </c>
      <c r="G248" s="334">
        <v>16.2</v>
      </c>
      <c r="H248" s="334">
        <v>77.510000000000005</v>
      </c>
      <c r="I248" s="334">
        <v>0</v>
      </c>
      <c r="J248" s="334">
        <v>2494.48</v>
      </c>
      <c r="K248" s="334">
        <v>1994.13</v>
      </c>
      <c r="L248" s="334">
        <v>1833.67</v>
      </c>
      <c r="M248" s="334">
        <v>0</v>
      </c>
      <c r="N248" s="351">
        <v>0</v>
      </c>
      <c r="O248" s="334">
        <v>0</v>
      </c>
      <c r="P248" s="334">
        <v>0</v>
      </c>
      <c r="Q248" s="334">
        <v>0</v>
      </c>
      <c r="R248" s="344">
        <v>0</v>
      </c>
    </row>
    <row r="249" spans="1:18" x14ac:dyDescent="0.25">
      <c r="A249" s="236" t="s">
        <v>359</v>
      </c>
      <c r="B249" s="358">
        <v>50.59</v>
      </c>
      <c r="C249" s="334">
        <v>48.12</v>
      </c>
      <c r="D249" s="334">
        <v>190.99</v>
      </c>
      <c r="E249" s="334">
        <v>75.37</v>
      </c>
      <c r="F249" s="334">
        <v>66.239999999999995</v>
      </c>
      <c r="G249" s="334">
        <v>0</v>
      </c>
      <c r="H249" s="334">
        <v>0</v>
      </c>
      <c r="I249" s="334">
        <v>0</v>
      </c>
      <c r="J249" s="334">
        <v>2264.67</v>
      </c>
      <c r="K249" s="334">
        <v>0</v>
      </c>
      <c r="L249" s="334">
        <v>0</v>
      </c>
      <c r="M249" s="334">
        <v>0</v>
      </c>
      <c r="N249" s="351">
        <v>0</v>
      </c>
      <c r="O249" s="334">
        <v>0</v>
      </c>
      <c r="P249" s="334">
        <v>0</v>
      </c>
      <c r="Q249" s="334">
        <v>0</v>
      </c>
      <c r="R249" s="344">
        <v>0</v>
      </c>
    </row>
    <row r="250" spans="1:18" x14ac:dyDescent="0.25">
      <c r="A250" s="236" t="s">
        <v>360</v>
      </c>
      <c r="B250" s="358">
        <v>54.09</v>
      </c>
      <c r="C250" s="334">
        <v>38.92</v>
      </c>
      <c r="D250" s="334">
        <v>141.52000000000001</v>
      </c>
      <c r="E250" s="334">
        <v>56.3</v>
      </c>
      <c r="F250" s="334">
        <v>65.3</v>
      </c>
      <c r="G250" s="334">
        <v>0</v>
      </c>
      <c r="H250" s="334">
        <v>84.23</v>
      </c>
      <c r="I250" s="334">
        <v>0</v>
      </c>
      <c r="J250" s="334">
        <v>2432.33</v>
      </c>
      <c r="K250" s="334">
        <v>0</v>
      </c>
      <c r="L250" s="348">
        <v>0</v>
      </c>
      <c r="M250" s="334">
        <v>0</v>
      </c>
      <c r="N250" s="351">
        <v>0</v>
      </c>
      <c r="O250" s="334">
        <v>0</v>
      </c>
      <c r="P250" s="334">
        <v>0</v>
      </c>
      <c r="Q250" s="334">
        <v>0</v>
      </c>
      <c r="R250" s="344">
        <v>0</v>
      </c>
    </row>
    <row r="251" spans="1:18" x14ac:dyDescent="0.25">
      <c r="A251" s="236" t="s">
        <v>361</v>
      </c>
      <c r="B251" s="358">
        <v>56.79</v>
      </c>
      <c r="C251" s="334">
        <v>45.92</v>
      </c>
      <c r="D251" s="334">
        <v>180.63</v>
      </c>
      <c r="E251" s="334">
        <v>57.47</v>
      </c>
      <c r="F251" s="334">
        <v>95.88</v>
      </c>
      <c r="G251" s="334">
        <v>0</v>
      </c>
      <c r="H251" s="334">
        <v>85.68</v>
      </c>
      <c r="I251" s="334">
        <v>0</v>
      </c>
      <c r="J251" s="334">
        <v>2554.58</v>
      </c>
      <c r="K251" s="334">
        <v>2403.67</v>
      </c>
      <c r="L251" s="348">
        <v>0</v>
      </c>
      <c r="M251" s="334">
        <v>0</v>
      </c>
      <c r="N251" s="351">
        <v>0</v>
      </c>
      <c r="O251" s="334">
        <v>0</v>
      </c>
      <c r="P251" s="334">
        <v>0</v>
      </c>
      <c r="Q251" s="334">
        <v>0</v>
      </c>
      <c r="R251" s="344">
        <v>0</v>
      </c>
    </row>
    <row r="252" spans="1:18" x14ac:dyDescent="0.25">
      <c r="A252" s="236" t="s">
        <v>362</v>
      </c>
      <c r="B252" s="358">
        <v>38.81</v>
      </c>
      <c r="C252" s="334">
        <v>28.73</v>
      </c>
      <c r="D252" s="334">
        <v>82.1</v>
      </c>
      <c r="E252" s="334">
        <v>54.2</v>
      </c>
      <c r="F252" s="334">
        <v>70.489999999999995</v>
      </c>
      <c r="G252" s="334">
        <v>15.57</v>
      </c>
      <c r="H252" s="334">
        <v>58.57</v>
      </c>
      <c r="I252" s="334">
        <v>1946.44</v>
      </c>
      <c r="J252" s="334">
        <v>1189.04</v>
      </c>
      <c r="K252" s="334">
        <v>2140.67</v>
      </c>
      <c r="L252" s="348">
        <v>0</v>
      </c>
      <c r="M252" s="334">
        <v>1021.23</v>
      </c>
      <c r="N252" s="351">
        <v>0</v>
      </c>
      <c r="O252" s="334">
        <v>0</v>
      </c>
      <c r="P252" s="334">
        <v>0</v>
      </c>
      <c r="Q252" s="334">
        <v>2140.67</v>
      </c>
      <c r="R252" s="342">
        <v>2140.67</v>
      </c>
    </row>
    <row r="253" spans="1:18" x14ac:dyDescent="0.25">
      <c r="A253" s="236" t="s">
        <v>363</v>
      </c>
      <c r="B253" s="358">
        <v>54.96</v>
      </c>
      <c r="C253" s="334">
        <v>39.08</v>
      </c>
      <c r="D253" s="334">
        <v>142.80000000000001</v>
      </c>
      <c r="E253" s="334">
        <v>60.5</v>
      </c>
      <c r="F253" s="334">
        <v>72.38</v>
      </c>
      <c r="G253" s="334">
        <v>0</v>
      </c>
      <c r="H253" s="334">
        <v>84.59</v>
      </c>
      <c r="I253" s="334">
        <v>0</v>
      </c>
      <c r="J253" s="334">
        <v>2470.75</v>
      </c>
      <c r="K253" s="334">
        <v>2252</v>
      </c>
      <c r="L253" s="382">
        <v>2066</v>
      </c>
      <c r="M253" s="334">
        <v>0</v>
      </c>
      <c r="N253" s="351">
        <v>0</v>
      </c>
      <c r="O253" s="334">
        <v>0</v>
      </c>
      <c r="P253" s="334">
        <v>0</v>
      </c>
      <c r="Q253" s="334">
        <v>2066</v>
      </c>
      <c r="R253" s="344">
        <v>0</v>
      </c>
    </row>
    <row r="254" spans="1:18" x14ac:dyDescent="0.25">
      <c r="A254" s="236" t="s">
        <v>364</v>
      </c>
      <c r="B254" s="358">
        <v>34.46</v>
      </c>
      <c r="C254" s="334">
        <v>23.78</v>
      </c>
      <c r="D254" s="334">
        <v>66.17</v>
      </c>
      <c r="E254" s="334">
        <v>31.03</v>
      </c>
      <c r="F254" s="334">
        <v>78.7</v>
      </c>
      <c r="G254" s="334">
        <v>16</v>
      </c>
      <c r="H254" s="334">
        <v>54.57</v>
      </c>
      <c r="I254" s="334">
        <v>0</v>
      </c>
      <c r="J254" s="334">
        <v>1088.8399999999999</v>
      </c>
      <c r="K254" s="334">
        <v>0</v>
      </c>
      <c r="L254" s="348">
        <v>0</v>
      </c>
      <c r="M254" s="334">
        <v>0</v>
      </c>
      <c r="N254" s="351">
        <v>0</v>
      </c>
      <c r="O254" s="334">
        <v>0</v>
      </c>
      <c r="P254" s="334">
        <v>0</v>
      </c>
      <c r="Q254" s="334">
        <v>0</v>
      </c>
      <c r="R254" s="344">
        <v>0</v>
      </c>
    </row>
    <row r="255" spans="1:18" x14ac:dyDescent="0.25">
      <c r="A255" s="236" t="s">
        <v>365</v>
      </c>
      <c r="B255" s="358">
        <v>56.94</v>
      </c>
      <c r="C255" s="334">
        <v>33.22</v>
      </c>
      <c r="D255" s="334">
        <v>101.19</v>
      </c>
      <c r="E255" s="334">
        <v>35.1</v>
      </c>
      <c r="F255" s="334">
        <v>79.27</v>
      </c>
      <c r="G255" s="334">
        <v>0</v>
      </c>
      <c r="H255" s="334">
        <v>81.48</v>
      </c>
      <c r="I255" s="334">
        <v>0</v>
      </c>
      <c r="J255" s="334">
        <v>1803.68</v>
      </c>
      <c r="K255" s="334">
        <v>2066</v>
      </c>
      <c r="L255" s="348">
        <v>0</v>
      </c>
      <c r="M255" s="334">
        <v>0</v>
      </c>
      <c r="N255" s="351">
        <v>0</v>
      </c>
      <c r="O255" s="334">
        <v>0</v>
      </c>
      <c r="P255" s="334">
        <v>0</v>
      </c>
      <c r="Q255" s="334">
        <v>0</v>
      </c>
      <c r="R255" s="344">
        <v>0</v>
      </c>
    </row>
    <row r="256" spans="1:18" x14ac:dyDescent="0.25">
      <c r="A256" s="236" t="s">
        <v>366</v>
      </c>
      <c r="B256" s="358">
        <v>56.79</v>
      </c>
      <c r="C256" s="334">
        <v>47.27</v>
      </c>
      <c r="D256" s="334">
        <v>164.98</v>
      </c>
      <c r="E256" s="334">
        <v>43.53</v>
      </c>
      <c r="F256" s="334">
        <v>74.069999999999993</v>
      </c>
      <c r="G256" s="334">
        <v>14</v>
      </c>
      <c r="H256" s="334">
        <v>92</v>
      </c>
      <c r="I256" s="334">
        <v>0</v>
      </c>
      <c r="J256" s="334">
        <v>0</v>
      </c>
      <c r="K256" s="334">
        <v>1946.67</v>
      </c>
      <c r="L256" s="348">
        <v>0</v>
      </c>
      <c r="M256" s="334">
        <v>0</v>
      </c>
      <c r="N256" s="351">
        <v>0</v>
      </c>
      <c r="O256" s="334">
        <v>0</v>
      </c>
      <c r="P256" s="334">
        <v>0</v>
      </c>
      <c r="Q256" s="334">
        <v>0</v>
      </c>
      <c r="R256" s="344">
        <v>0</v>
      </c>
    </row>
    <row r="257" spans="1:18" x14ac:dyDescent="0.25">
      <c r="A257" s="236" t="s">
        <v>367</v>
      </c>
      <c r="B257" s="358">
        <v>53.8</v>
      </c>
      <c r="C257" s="334">
        <v>51.81</v>
      </c>
      <c r="D257" s="334">
        <v>187.96</v>
      </c>
      <c r="E257" s="334">
        <v>43.53</v>
      </c>
      <c r="F257" s="334">
        <v>66.7</v>
      </c>
      <c r="G257" s="334">
        <v>0</v>
      </c>
      <c r="H257" s="334">
        <v>72</v>
      </c>
      <c r="I257" s="334">
        <v>0</v>
      </c>
      <c r="J257" s="334">
        <v>0</v>
      </c>
      <c r="K257" s="334">
        <v>0</v>
      </c>
      <c r="L257" s="348">
        <v>0</v>
      </c>
      <c r="M257" s="334">
        <v>0</v>
      </c>
      <c r="N257" s="351">
        <v>0</v>
      </c>
      <c r="O257" s="334">
        <v>0</v>
      </c>
      <c r="P257" s="334">
        <v>0</v>
      </c>
      <c r="Q257" s="334">
        <v>0</v>
      </c>
      <c r="R257" s="344">
        <v>0</v>
      </c>
    </row>
    <row r="258" spans="1:18" x14ac:dyDescent="0.25">
      <c r="A258" s="236" t="s">
        <v>368</v>
      </c>
      <c r="B258" s="358">
        <v>61.17</v>
      </c>
      <c r="C258" s="334">
        <v>40.6</v>
      </c>
      <c r="D258" s="334">
        <v>161.53</v>
      </c>
      <c r="E258" s="334">
        <v>52</v>
      </c>
      <c r="F258" s="334">
        <v>85.17</v>
      </c>
      <c r="G258" s="334">
        <v>16.329999999999998</v>
      </c>
      <c r="H258" s="334">
        <v>49.3</v>
      </c>
      <c r="I258" s="334">
        <v>0</v>
      </c>
      <c r="J258" s="334">
        <v>2389.62</v>
      </c>
      <c r="K258" s="334">
        <v>1884.33</v>
      </c>
      <c r="L258" s="334">
        <v>1718.73</v>
      </c>
      <c r="M258" s="334">
        <v>0</v>
      </c>
      <c r="N258" s="351">
        <v>0</v>
      </c>
      <c r="O258" s="334">
        <v>0</v>
      </c>
      <c r="P258" s="334">
        <v>0</v>
      </c>
      <c r="Q258" s="334">
        <v>1828.44</v>
      </c>
      <c r="R258" s="344">
        <v>0</v>
      </c>
    </row>
    <row r="259" spans="1:18" x14ac:dyDescent="0.25">
      <c r="A259" s="236" t="s">
        <v>369</v>
      </c>
      <c r="B259" s="358">
        <v>49.62</v>
      </c>
      <c r="C259" s="334">
        <v>44.1</v>
      </c>
      <c r="D259" s="334">
        <v>159.91999999999999</v>
      </c>
      <c r="E259" s="334">
        <v>43.53</v>
      </c>
      <c r="F259" s="334">
        <v>68.31</v>
      </c>
      <c r="G259" s="334">
        <v>0</v>
      </c>
      <c r="H259" s="334">
        <v>92</v>
      </c>
      <c r="I259" s="334">
        <v>0</v>
      </c>
      <c r="J259" s="334">
        <v>0</v>
      </c>
      <c r="K259" s="334">
        <v>0</v>
      </c>
      <c r="L259" s="348">
        <v>0</v>
      </c>
      <c r="M259" s="334">
        <v>0</v>
      </c>
      <c r="N259" s="351">
        <v>0</v>
      </c>
      <c r="O259" s="334">
        <v>0</v>
      </c>
      <c r="P259" s="334">
        <v>0</v>
      </c>
      <c r="Q259" s="334">
        <v>0</v>
      </c>
      <c r="R259" s="344">
        <v>0</v>
      </c>
    </row>
    <row r="260" spans="1:18" ht="15.75" thickBot="1" x14ac:dyDescent="0.3">
      <c r="A260" s="237" t="s">
        <v>370</v>
      </c>
      <c r="B260" s="359">
        <v>35.049999999999997</v>
      </c>
      <c r="C260" s="336">
        <v>24.99</v>
      </c>
      <c r="D260" s="336">
        <v>76.39</v>
      </c>
      <c r="E260" s="336">
        <v>55.63</v>
      </c>
      <c r="F260" s="336">
        <v>53.39</v>
      </c>
      <c r="G260" s="336">
        <v>16</v>
      </c>
      <c r="H260" s="336">
        <v>41.28</v>
      </c>
      <c r="I260" s="336">
        <v>0</v>
      </c>
      <c r="J260" s="336">
        <v>1262.6099999999999</v>
      </c>
      <c r="K260" s="336">
        <v>1666.33</v>
      </c>
      <c r="L260" s="349">
        <v>0</v>
      </c>
      <c r="M260" s="336">
        <v>987.75</v>
      </c>
      <c r="N260" s="353">
        <v>0</v>
      </c>
      <c r="O260" s="336">
        <v>0</v>
      </c>
      <c r="P260" s="336">
        <v>0</v>
      </c>
      <c r="Q260" s="336">
        <v>0</v>
      </c>
      <c r="R260" s="387">
        <v>1666.33</v>
      </c>
    </row>
  </sheetData>
  <sheetProtection algorithmName="SHA-512" hashValue="zaJ5W3EzgzN+vl4jhTcdVuBwYeJGm+WZ5AxMLfQpSUxcRvetC3rVn8YUbaMdfKu02m3osPGiypRm5P3SJXL+3g==" saltValue="h9xlDI3GUNaJ3cR2owIj2A==" spinCount="100000" sheet="1" objects="1" scenarios="1"/>
  <dataValidations count="2">
    <dataValidation type="decimal" operator="greaterThan" allowBlank="1" showInputMessage="1" showErrorMessage="1" sqref="E3:E55 H3:H55" xr:uid="{00000000-0002-0000-0100-000000000000}">
      <formula1>0.1</formula1>
    </dataValidation>
    <dataValidation type="whole" operator="greaterThan" allowBlank="1" showInputMessage="1" showErrorMessage="1" sqref="L3:N55 Q3:R55 O3:P260" xr:uid="{00000000-0002-0000-0100-000001000000}">
      <formula1>0</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50"/>
  <sheetViews>
    <sheetView workbookViewId="0">
      <pane xSplit="1" ySplit="5" topLeftCell="B6" activePane="bottomRight" state="frozen"/>
      <selection pane="topRight" activeCell="B1" sqref="B1"/>
      <selection pane="bottomLeft" activeCell="A6" sqref="A6"/>
      <selection pane="bottomRight" activeCell="B1" sqref="B1"/>
    </sheetView>
  </sheetViews>
  <sheetFormatPr defaultRowHeight="15" x14ac:dyDescent="0.25"/>
  <cols>
    <col min="1" max="1" width="18.140625" customWidth="1"/>
  </cols>
  <sheetData>
    <row r="1" spans="1:16" x14ac:dyDescent="0.25">
      <c r="A1" t="s">
        <v>181</v>
      </c>
      <c r="B1" s="1" t="s">
        <v>209</v>
      </c>
    </row>
    <row r="2" spans="1:16" x14ac:dyDescent="0.25">
      <c r="B2" s="1" t="s">
        <v>210</v>
      </c>
    </row>
    <row r="3" spans="1:16" ht="15.75" thickBot="1" x14ac:dyDescent="0.3">
      <c r="B3" s="1"/>
    </row>
    <row r="4" spans="1:16" x14ac:dyDescent="0.25">
      <c r="A4" s="122"/>
      <c r="B4" s="125" t="s">
        <v>211</v>
      </c>
      <c r="C4" s="110" t="s">
        <v>2</v>
      </c>
      <c r="D4" s="111" t="s">
        <v>3</v>
      </c>
      <c r="E4" s="111" t="s">
        <v>4</v>
      </c>
      <c r="F4" s="129" t="s">
        <v>5</v>
      </c>
      <c r="G4" s="111" t="s">
        <v>6</v>
      </c>
      <c r="H4" s="111" t="s">
        <v>187</v>
      </c>
      <c r="I4" s="111" t="s">
        <v>7</v>
      </c>
      <c r="J4" s="111" t="s">
        <v>214</v>
      </c>
      <c r="K4" s="111" t="s">
        <v>10</v>
      </c>
      <c r="L4" s="111" t="s">
        <v>11</v>
      </c>
      <c r="M4" s="111" t="s">
        <v>8</v>
      </c>
      <c r="N4" s="111" t="s">
        <v>9</v>
      </c>
      <c r="O4" s="111" t="s">
        <v>12</v>
      </c>
      <c r="P4" s="112" t="s">
        <v>13</v>
      </c>
    </row>
    <row r="5" spans="1:16" ht="15.75" thickBot="1" x14ac:dyDescent="0.3">
      <c r="A5" s="123" t="s">
        <v>14</v>
      </c>
      <c r="B5" s="113">
        <v>2015</v>
      </c>
      <c r="C5" s="113">
        <v>2015</v>
      </c>
      <c r="D5" s="113">
        <v>2015</v>
      </c>
      <c r="E5" s="113">
        <v>2015</v>
      </c>
      <c r="F5" s="113">
        <v>2015</v>
      </c>
      <c r="G5" s="113">
        <v>2015</v>
      </c>
      <c r="H5" s="113">
        <v>2015</v>
      </c>
      <c r="I5" s="113">
        <v>2015</v>
      </c>
      <c r="J5" s="113">
        <v>2015</v>
      </c>
      <c r="K5" s="113">
        <v>2015</v>
      </c>
      <c r="L5" s="113">
        <v>2015</v>
      </c>
      <c r="M5" s="113">
        <v>2015</v>
      </c>
      <c r="N5" s="113">
        <v>2015</v>
      </c>
      <c r="O5" s="113">
        <v>2015</v>
      </c>
      <c r="P5" s="114">
        <v>2015</v>
      </c>
    </row>
    <row r="6" spans="1:16" x14ac:dyDescent="0.25">
      <c r="A6" s="91" t="s">
        <v>34</v>
      </c>
      <c r="B6" s="95">
        <v>42.9</v>
      </c>
      <c r="C6" s="115"/>
      <c r="D6" s="116"/>
      <c r="E6" s="102">
        <v>57.2</v>
      </c>
      <c r="F6" s="117"/>
      <c r="G6" s="117"/>
      <c r="H6" s="117"/>
      <c r="I6" s="118">
        <v>1450</v>
      </c>
      <c r="J6" s="118"/>
      <c r="K6" s="118"/>
      <c r="L6" s="119"/>
      <c r="M6" s="119"/>
      <c r="N6" s="119"/>
      <c r="O6" s="120"/>
      <c r="P6" s="121"/>
    </row>
    <row r="7" spans="1:16" x14ac:dyDescent="0.25">
      <c r="A7" s="91" t="s">
        <v>35</v>
      </c>
      <c r="B7" s="103">
        <v>62.7</v>
      </c>
      <c r="C7">
        <v>34.700000000000003</v>
      </c>
      <c r="D7" s="97">
        <v>134.80000000000001</v>
      </c>
      <c r="E7" s="2">
        <v>69.900000000000006</v>
      </c>
      <c r="F7" s="97"/>
      <c r="G7" s="96"/>
      <c r="H7" s="96"/>
      <c r="I7" s="30"/>
      <c r="J7" s="35"/>
      <c r="K7" s="30"/>
      <c r="L7" s="30"/>
      <c r="M7" s="30"/>
      <c r="N7" s="30"/>
      <c r="O7" s="36"/>
      <c r="P7" s="31"/>
    </row>
    <row r="8" spans="1:16" x14ac:dyDescent="0.25">
      <c r="A8" s="91" t="s">
        <v>36</v>
      </c>
      <c r="B8" s="103">
        <v>50.1</v>
      </c>
      <c r="C8">
        <v>25.5</v>
      </c>
      <c r="D8" s="97"/>
      <c r="E8" s="2">
        <v>63</v>
      </c>
      <c r="F8" s="97"/>
      <c r="G8" s="97"/>
      <c r="H8" s="97"/>
      <c r="I8" s="35"/>
      <c r="J8" s="35"/>
      <c r="K8" s="35"/>
      <c r="L8" s="30"/>
      <c r="M8" s="30"/>
      <c r="N8" s="30"/>
      <c r="O8" s="36"/>
      <c r="P8" s="31"/>
    </row>
    <row r="9" spans="1:16" x14ac:dyDescent="0.25">
      <c r="A9" s="91" t="s">
        <v>37</v>
      </c>
      <c r="B9" s="103">
        <v>45.4</v>
      </c>
      <c r="C9" s="97"/>
      <c r="D9" s="96"/>
      <c r="E9" s="97"/>
      <c r="F9" s="97"/>
      <c r="G9" s="96"/>
      <c r="H9" s="96"/>
      <c r="I9" s="30"/>
      <c r="J9" s="35"/>
      <c r="K9" s="30"/>
      <c r="L9" s="30"/>
      <c r="M9" s="30"/>
      <c r="N9" s="30"/>
      <c r="O9" s="36"/>
      <c r="P9" s="31"/>
    </row>
    <row r="10" spans="1:16" x14ac:dyDescent="0.25">
      <c r="A10" s="91" t="s">
        <v>38</v>
      </c>
      <c r="B10" s="103">
        <v>48.8</v>
      </c>
      <c r="C10" s="97">
        <v>31.6</v>
      </c>
      <c r="D10" s="97">
        <v>110.6</v>
      </c>
      <c r="E10" s="97"/>
      <c r="F10" s="97"/>
      <c r="G10" s="97"/>
      <c r="H10" s="97"/>
      <c r="I10" s="35">
        <v>1760</v>
      </c>
      <c r="J10" s="35"/>
      <c r="K10" s="35"/>
      <c r="L10" s="30"/>
      <c r="M10" s="30"/>
      <c r="N10" s="30"/>
      <c r="O10" s="36"/>
      <c r="P10" s="31"/>
    </row>
    <row r="11" spans="1:16" x14ac:dyDescent="0.25">
      <c r="A11" s="91" t="s">
        <v>39</v>
      </c>
      <c r="B11" s="98"/>
      <c r="C11" s="97"/>
      <c r="D11" s="96"/>
      <c r="E11" s="97">
        <v>58.3</v>
      </c>
      <c r="F11" s="97"/>
      <c r="G11" s="97"/>
      <c r="H11" s="97"/>
      <c r="I11" s="35"/>
      <c r="J11" s="126">
        <v>1410</v>
      </c>
      <c r="K11" s="35"/>
      <c r="L11" s="30"/>
      <c r="M11" s="30"/>
      <c r="N11" s="30"/>
      <c r="O11" s="36"/>
      <c r="P11" s="31"/>
    </row>
    <row r="12" spans="1:16" x14ac:dyDescent="0.25">
      <c r="A12" s="91" t="s">
        <v>40</v>
      </c>
      <c r="B12" s="98"/>
      <c r="C12" s="97"/>
      <c r="D12" s="96"/>
      <c r="E12" s="97"/>
      <c r="F12" s="97"/>
      <c r="G12" s="97"/>
      <c r="H12" s="97"/>
      <c r="I12" s="35"/>
      <c r="J12" s="126">
        <v>1410</v>
      </c>
      <c r="K12" s="35">
        <v>2110</v>
      </c>
      <c r="L12" s="35"/>
      <c r="M12" s="30"/>
      <c r="N12" s="30"/>
      <c r="O12" s="36"/>
      <c r="P12" s="31"/>
    </row>
    <row r="13" spans="1:16" x14ac:dyDescent="0.25">
      <c r="A13" s="91" t="s">
        <v>41</v>
      </c>
      <c r="B13" s="98"/>
      <c r="C13" s="97"/>
      <c r="D13" s="96">
        <v>99.7</v>
      </c>
      <c r="E13" s="97">
        <v>59.1</v>
      </c>
      <c r="F13" s="97"/>
      <c r="G13" s="97"/>
      <c r="H13" s="97"/>
      <c r="I13" s="35"/>
      <c r="J13" s="126">
        <v>1540</v>
      </c>
      <c r="K13" s="35"/>
      <c r="L13" s="30"/>
      <c r="M13" s="30"/>
      <c r="N13" s="30"/>
      <c r="O13" s="36"/>
      <c r="P13" s="31"/>
    </row>
    <row r="14" spans="1:16" x14ac:dyDescent="0.25">
      <c r="A14" s="91" t="s">
        <v>42</v>
      </c>
      <c r="B14" s="103">
        <v>64.7</v>
      </c>
      <c r="C14" s="97">
        <v>39.700000000000003</v>
      </c>
      <c r="D14" s="96">
        <v>150.5</v>
      </c>
      <c r="E14" s="97"/>
      <c r="F14" s="96"/>
      <c r="G14" s="96"/>
      <c r="H14" s="96"/>
      <c r="I14" s="30"/>
      <c r="J14" s="35"/>
      <c r="K14" s="30"/>
      <c r="L14" s="30"/>
      <c r="M14" s="30"/>
      <c r="N14" s="30"/>
      <c r="O14" s="36"/>
      <c r="P14" s="31"/>
    </row>
    <row r="15" spans="1:16" x14ac:dyDescent="0.25">
      <c r="A15" s="91" t="s">
        <v>43</v>
      </c>
      <c r="B15" s="103">
        <v>54.1</v>
      </c>
      <c r="C15" s="97">
        <v>26.6</v>
      </c>
      <c r="D15" s="96">
        <v>107.9</v>
      </c>
      <c r="E15" s="97"/>
      <c r="F15" s="97"/>
      <c r="G15" s="97">
        <v>26.4</v>
      </c>
      <c r="H15" s="97"/>
      <c r="I15" s="35">
        <v>1960</v>
      </c>
      <c r="J15" s="126">
        <v>1730</v>
      </c>
      <c r="K15" s="30">
        <v>1900</v>
      </c>
      <c r="L15" s="30"/>
      <c r="M15" s="30"/>
      <c r="N15" s="30"/>
      <c r="O15" s="36"/>
      <c r="P15" s="31"/>
    </row>
    <row r="16" spans="1:16" x14ac:dyDescent="0.25">
      <c r="A16" s="91" t="s">
        <v>44</v>
      </c>
      <c r="B16" s="103">
        <v>51.1</v>
      </c>
      <c r="C16" s="97">
        <v>33.5</v>
      </c>
      <c r="D16" s="96">
        <v>130.69999999999999</v>
      </c>
      <c r="E16" s="97"/>
      <c r="F16" s="97"/>
      <c r="G16" s="96"/>
      <c r="H16" s="96"/>
      <c r="I16" s="30"/>
      <c r="J16" s="35"/>
      <c r="K16" s="30"/>
      <c r="L16" s="30"/>
      <c r="M16" s="30"/>
      <c r="N16" s="30"/>
      <c r="O16" s="36"/>
      <c r="P16" s="31"/>
    </row>
    <row r="17" spans="1:16" x14ac:dyDescent="0.25">
      <c r="A17" s="91" t="s">
        <v>45</v>
      </c>
      <c r="B17" s="103"/>
      <c r="C17" s="97"/>
      <c r="D17" s="96"/>
      <c r="E17" s="97"/>
      <c r="F17" s="97"/>
      <c r="G17" s="97">
        <v>20.2</v>
      </c>
      <c r="H17" s="97"/>
      <c r="I17" s="35">
        <v>1440</v>
      </c>
      <c r="J17" s="126">
        <v>1280</v>
      </c>
      <c r="K17" s="35">
        <v>1600</v>
      </c>
      <c r="L17" s="35"/>
      <c r="M17" s="30"/>
      <c r="N17" s="30"/>
      <c r="O17" s="36"/>
      <c r="P17" s="31"/>
    </row>
    <row r="18" spans="1:16" x14ac:dyDescent="0.25">
      <c r="A18" s="91" t="s">
        <v>46</v>
      </c>
      <c r="B18" s="103">
        <v>39.799999999999997</v>
      </c>
      <c r="C18" s="97"/>
      <c r="D18" s="96"/>
      <c r="E18" s="97"/>
      <c r="F18" s="97"/>
      <c r="G18" s="97">
        <v>16.399999999999999</v>
      </c>
      <c r="H18" s="97"/>
      <c r="I18" s="35">
        <v>1730</v>
      </c>
      <c r="J18" s="126">
        <v>1690</v>
      </c>
      <c r="K18" s="35"/>
      <c r="L18" s="30"/>
      <c r="M18" s="30"/>
      <c r="N18" s="30"/>
      <c r="O18" s="36"/>
      <c r="P18" s="31"/>
    </row>
    <row r="19" spans="1:16" x14ac:dyDescent="0.25">
      <c r="A19" s="91" t="s">
        <v>47</v>
      </c>
      <c r="B19" s="98"/>
      <c r="C19">
        <v>25.9</v>
      </c>
      <c r="D19" s="96">
        <v>107.8</v>
      </c>
      <c r="E19" s="97">
        <v>67.099999999999994</v>
      </c>
      <c r="F19" s="97"/>
      <c r="G19" s="97"/>
      <c r="H19" s="97"/>
      <c r="I19" s="35"/>
      <c r="J19" s="126">
        <v>1610</v>
      </c>
      <c r="K19" s="35"/>
      <c r="L19" s="30"/>
      <c r="M19" s="30"/>
      <c r="N19" s="30"/>
      <c r="O19" s="36"/>
      <c r="P19" s="31"/>
    </row>
    <row r="20" spans="1:16" x14ac:dyDescent="0.25">
      <c r="A20" s="91" t="s">
        <v>48</v>
      </c>
      <c r="B20" s="103">
        <v>50.2</v>
      </c>
      <c r="C20">
        <v>34.6</v>
      </c>
      <c r="D20" s="96">
        <v>105</v>
      </c>
      <c r="E20" s="97"/>
      <c r="F20" s="97"/>
      <c r="G20" s="97"/>
      <c r="H20" s="97"/>
      <c r="I20" s="30"/>
      <c r="J20" s="126">
        <v>1500</v>
      </c>
      <c r="K20" s="35"/>
      <c r="L20" s="30"/>
      <c r="M20" s="30"/>
      <c r="N20" s="30"/>
      <c r="O20" s="36"/>
      <c r="P20" s="31"/>
    </row>
    <row r="21" spans="1:16" x14ac:dyDescent="0.25">
      <c r="A21" s="91" t="s">
        <v>49</v>
      </c>
      <c r="B21" s="103"/>
      <c r="C21">
        <v>29.7</v>
      </c>
      <c r="D21" s="96"/>
      <c r="E21" s="97">
        <v>55</v>
      </c>
      <c r="F21" s="97"/>
      <c r="G21" s="97"/>
      <c r="H21" s="97"/>
      <c r="I21" s="35"/>
      <c r="J21" s="35"/>
      <c r="K21" s="35"/>
      <c r="L21" s="30"/>
      <c r="M21" s="30"/>
      <c r="N21" s="30"/>
      <c r="O21" s="36"/>
      <c r="P21" s="31"/>
    </row>
    <row r="22" spans="1:16" x14ac:dyDescent="0.25">
      <c r="A22" s="91" t="s">
        <v>50</v>
      </c>
      <c r="B22" s="103">
        <v>46.1</v>
      </c>
      <c r="C22" s="97"/>
      <c r="D22" s="96">
        <v>62.7</v>
      </c>
      <c r="E22" s="97"/>
      <c r="F22" s="97"/>
      <c r="G22" s="96"/>
      <c r="H22" s="96"/>
      <c r="I22" s="35"/>
      <c r="J22" s="35"/>
      <c r="K22" s="35"/>
      <c r="L22" s="35"/>
      <c r="M22" s="30"/>
      <c r="N22" s="30"/>
      <c r="O22" s="36"/>
      <c r="P22" s="31"/>
    </row>
    <row r="23" spans="1:16" x14ac:dyDescent="0.25">
      <c r="A23" s="91" t="s">
        <v>51</v>
      </c>
      <c r="B23" s="103">
        <v>54.8</v>
      </c>
      <c r="C23" s="97">
        <v>33.6</v>
      </c>
      <c r="D23" s="96">
        <v>139.30000000000001</v>
      </c>
      <c r="E23" s="97">
        <v>65.2</v>
      </c>
      <c r="F23" s="96"/>
      <c r="G23" s="96"/>
      <c r="H23" s="96"/>
      <c r="I23" s="30"/>
      <c r="J23" s="35"/>
      <c r="K23" s="30"/>
      <c r="L23" s="30"/>
      <c r="M23" s="30"/>
      <c r="N23" s="30"/>
      <c r="O23" s="36"/>
      <c r="P23" s="31"/>
    </row>
    <row r="24" spans="1:16" x14ac:dyDescent="0.25">
      <c r="A24" s="91" t="s">
        <v>52</v>
      </c>
      <c r="B24" s="103"/>
      <c r="C24" s="97"/>
      <c r="D24" s="96"/>
      <c r="E24" s="97"/>
      <c r="F24" s="97">
        <v>76.3</v>
      </c>
      <c r="G24" s="97"/>
      <c r="H24" s="97"/>
      <c r="I24" s="35"/>
      <c r="J24" s="35"/>
      <c r="K24" s="35">
        <v>2560</v>
      </c>
      <c r="L24" s="30"/>
      <c r="M24" s="30"/>
      <c r="N24" s="30"/>
      <c r="O24" s="36"/>
      <c r="P24" s="31"/>
    </row>
    <row r="25" spans="1:16" x14ac:dyDescent="0.25">
      <c r="A25" s="91" t="s">
        <v>53</v>
      </c>
      <c r="B25" s="103">
        <v>55.9</v>
      </c>
      <c r="C25" s="97">
        <v>34.5</v>
      </c>
      <c r="D25" s="96">
        <v>137.69999999999999</v>
      </c>
      <c r="E25" s="97">
        <v>69.8</v>
      </c>
      <c r="F25" s="96">
        <v>70.8</v>
      </c>
      <c r="G25" s="96"/>
      <c r="H25" s="96"/>
      <c r="I25" s="30"/>
      <c r="J25" s="35"/>
      <c r="K25" s="30"/>
      <c r="L25" s="30"/>
      <c r="M25" s="30"/>
      <c r="N25" s="30"/>
      <c r="O25" s="36"/>
      <c r="P25" s="31"/>
    </row>
    <row r="26" spans="1:16" x14ac:dyDescent="0.25">
      <c r="A26" s="91" t="s">
        <v>54</v>
      </c>
      <c r="B26" s="98"/>
      <c r="C26" s="97"/>
      <c r="D26" s="96"/>
      <c r="E26" s="97"/>
      <c r="F26" s="97"/>
      <c r="G26" s="97"/>
      <c r="H26" s="97"/>
      <c r="I26" s="35"/>
      <c r="J26" s="35"/>
      <c r="K26" s="35"/>
      <c r="L26" s="30"/>
      <c r="M26" s="30"/>
      <c r="N26" s="30"/>
      <c r="O26" s="36"/>
      <c r="P26" s="31"/>
    </row>
    <row r="27" spans="1:16" x14ac:dyDescent="0.25">
      <c r="A27" s="91" t="s">
        <v>55</v>
      </c>
      <c r="B27" s="103">
        <v>38.5</v>
      </c>
      <c r="C27" s="97">
        <v>27.2</v>
      </c>
      <c r="D27" s="96">
        <v>90.9</v>
      </c>
      <c r="E27" s="97">
        <v>50.9</v>
      </c>
      <c r="F27" s="97"/>
      <c r="G27" s="97"/>
      <c r="H27" s="97"/>
      <c r="I27" s="35"/>
      <c r="J27" s="35"/>
      <c r="K27" s="35"/>
      <c r="L27" s="30"/>
      <c r="M27" s="30"/>
      <c r="N27" s="30"/>
      <c r="O27" s="36"/>
      <c r="P27" s="31"/>
    </row>
    <row r="28" spans="1:16" x14ac:dyDescent="0.25">
      <c r="A28" s="91" t="s">
        <v>56</v>
      </c>
      <c r="B28" s="98"/>
      <c r="C28" s="97">
        <v>34.299999999999997</v>
      </c>
      <c r="D28" s="96">
        <v>139.30000000000001</v>
      </c>
      <c r="E28" s="97"/>
      <c r="F28" s="97"/>
      <c r="G28" s="96"/>
      <c r="H28" s="96"/>
      <c r="I28" s="30"/>
      <c r="J28" s="35"/>
      <c r="K28" s="30"/>
      <c r="L28" s="30"/>
      <c r="M28" s="30"/>
      <c r="N28" s="30"/>
      <c r="O28" s="36"/>
      <c r="P28" s="31"/>
    </row>
    <row r="29" spans="1:16" x14ac:dyDescent="0.25">
      <c r="A29" s="91" t="s">
        <v>57</v>
      </c>
      <c r="B29" s="98"/>
      <c r="C29" s="97"/>
      <c r="D29" s="96"/>
      <c r="E29" s="97"/>
      <c r="F29" s="97"/>
      <c r="G29" s="97">
        <v>14.3</v>
      </c>
      <c r="H29" s="97"/>
      <c r="I29" s="30"/>
      <c r="J29" s="35"/>
      <c r="K29" s="30"/>
      <c r="L29" s="30"/>
      <c r="M29" s="30"/>
      <c r="N29" s="30"/>
      <c r="O29" s="36"/>
      <c r="P29" s="31"/>
    </row>
    <row r="30" spans="1:16" x14ac:dyDescent="0.25">
      <c r="A30" s="91" t="s">
        <v>58</v>
      </c>
      <c r="B30" s="103">
        <v>41.6</v>
      </c>
      <c r="C30" s="97">
        <v>28.6</v>
      </c>
      <c r="D30" s="96">
        <v>105.9</v>
      </c>
      <c r="E30" s="97"/>
      <c r="F30" s="97"/>
      <c r="G30" s="97"/>
      <c r="H30" s="97"/>
      <c r="I30" s="35"/>
      <c r="J30" s="35"/>
      <c r="K30" s="35"/>
      <c r="L30" s="30"/>
      <c r="M30" s="30"/>
      <c r="N30" s="30"/>
      <c r="O30" s="36"/>
      <c r="P30" s="31"/>
    </row>
    <row r="31" spans="1:16" x14ac:dyDescent="0.25">
      <c r="A31" s="91" t="s">
        <v>59</v>
      </c>
      <c r="B31" s="98"/>
      <c r="C31" s="97"/>
      <c r="D31" s="96"/>
      <c r="E31" s="97"/>
      <c r="F31" s="97"/>
      <c r="G31" s="97"/>
      <c r="H31" s="97"/>
      <c r="I31" s="30"/>
      <c r="J31" s="35"/>
      <c r="K31" s="30"/>
      <c r="L31" s="30"/>
      <c r="M31" s="30"/>
      <c r="N31" s="30"/>
      <c r="O31" s="36"/>
      <c r="P31" s="31"/>
    </row>
    <row r="32" spans="1:16" x14ac:dyDescent="0.25">
      <c r="A32" s="91" t="s">
        <v>60</v>
      </c>
      <c r="B32" s="103">
        <v>31.4</v>
      </c>
      <c r="C32" s="97"/>
      <c r="D32" s="96"/>
      <c r="E32" s="97">
        <v>60.9</v>
      </c>
      <c r="F32" s="97"/>
      <c r="G32" s="97">
        <v>21.6</v>
      </c>
      <c r="H32" s="97"/>
      <c r="I32" s="35"/>
      <c r="J32" s="35"/>
      <c r="K32" s="35"/>
      <c r="L32" s="35"/>
      <c r="M32" s="30"/>
      <c r="N32" s="30"/>
      <c r="O32" s="36"/>
      <c r="P32" s="31"/>
    </row>
    <row r="33" spans="1:16" x14ac:dyDescent="0.25">
      <c r="A33" s="91" t="s">
        <v>61</v>
      </c>
      <c r="B33" s="103">
        <v>46.2</v>
      </c>
      <c r="C33" s="97"/>
      <c r="D33" s="96">
        <v>107.5</v>
      </c>
      <c r="E33" s="97"/>
      <c r="F33" s="97"/>
      <c r="G33" s="97"/>
      <c r="H33" s="97"/>
      <c r="I33" s="35">
        <v>1810</v>
      </c>
      <c r="J33" s="35"/>
      <c r="K33" s="35">
        <v>2370</v>
      </c>
      <c r="L33" s="35"/>
      <c r="M33" s="30"/>
      <c r="N33" s="30"/>
      <c r="O33" s="36"/>
      <c r="P33" s="31"/>
    </row>
    <row r="34" spans="1:16" x14ac:dyDescent="0.25">
      <c r="A34" s="91" t="s">
        <v>62</v>
      </c>
      <c r="B34" s="98"/>
      <c r="C34" s="97"/>
      <c r="D34" s="96"/>
      <c r="E34" s="97"/>
      <c r="F34" s="97"/>
      <c r="G34" s="97"/>
      <c r="H34" s="97"/>
      <c r="I34" s="35">
        <v>1630</v>
      </c>
      <c r="J34" s="35"/>
      <c r="K34" s="35">
        <v>2610</v>
      </c>
      <c r="L34" s="35"/>
      <c r="M34" s="30"/>
      <c r="N34" s="30"/>
      <c r="O34" s="36"/>
      <c r="P34" s="31"/>
    </row>
    <row r="35" spans="1:16" x14ac:dyDescent="0.25">
      <c r="A35" s="91" t="s">
        <v>63</v>
      </c>
      <c r="B35" s="103">
        <v>47.8</v>
      </c>
      <c r="C35" s="97"/>
      <c r="D35" s="96">
        <v>96.4</v>
      </c>
      <c r="E35" s="97"/>
      <c r="F35" s="97"/>
      <c r="G35" s="97"/>
      <c r="H35" s="97"/>
      <c r="I35" s="35"/>
      <c r="J35" s="35"/>
      <c r="K35" s="35">
        <v>2480</v>
      </c>
      <c r="L35" s="30"/>
      <c r="M35" s="30"/>
      <c r="N35" s="30"/>
      <c r="O35" s="36"/>
      <c r="P35" s="31"/>
    </row>
    <row r="36" spans="1:16" x14ac:dyDescent="0.25">
      <c r="A36" s="91" t="s">
        <v>176</v>
      </c>
      <c r="B36" s="103">
        <v>43.2</v>
      </c>
      <c r="C36" s="97">
        <v>29.4</v>
      </c>
      <c r="D36" s="96">
        <v>91.9</v>
      </c>
      <c r="E36" s="97"/>
      <c r="F36" s="97"/>
      <c r="G36" s="97"/>
      <c r="H36" s="97"/>
      <c r="I36" s="35">
        <v>1720</v>
      </c>
      <c r="J36" s="35"/>
      <c r="K36" s="35"/>
      <c r="L36" s="35"/>
      <c r="M36" s="30"/>
      <c r="N36" s="30"/>
      <c r="O36" s="36"/>
      <c r="P36" s="31"/>
    </row>
    <row r="37" spans="1:16" x14ac:dyDescent="0.25">
      <c r="A37" s="91" t="s">
        <v>64</v>
      </c>
      <c r="B37" s="98"/>
      <c r="C37" s="97">
        <v>28.1</v>
      </c>
      <c r="D37" s="96">
        <v>117.4</v>
      </c>
      <c r="E37" s="97">
        <v>65.3</v>
      </c>
      <c r="F37" s="96"/>
      <c r="G37" s="96"/>
      <c r="H37" s="96"/>
      <c r="I37" s="35"/>
      <c r="J37" s="35"/>
      <c r="K37" s="30">
        <v>1950</v>
      </c>
      <c r="L37" s="30"/>
      <c r="M37" s="30"/>
      <c r="N37" s="30"/>
      <c r="O37" s="36"/>
      <c r="P37" s="31"/>
    </row>
    <row r="38" spans="1:16" x14ac:dyDescent="0.25">
      <c r="A38" s="91" t="s">
        <v>65</v>
      </c>
      <c r="B38" s="98"/>
      <c r="C38" s="97"/>
      <c r="D38" s="96">
        <v>93.2</v>
      </c>
      <c r="E38" s="97">
        <v>50.4</v>
      </c>
      <c r="F38" s="97"/>
      <c r="G38" s="97"/>
      <c r="H38" s="97"/>
      <c r="I38" s="35"/>
      <c r="J38" s="35"/>
      <c r="K38" s="35">
        <v>2830</v>
      </c>
      <c r="L38" s="35"/>
      <c r="M38" s="30"/>
      <c r="N38" s="30"/>
      <c r="O38" s="36"/>
      <c r="P38" s="31"/>
    </row>
    <row r="39" spans="1:16" x14ac:dyDescent="0.25">
      <c r="A39" s="91" t="s">
        <v>66</v>
      </c>
      <c r="B39" s="103">
        <v>58.7</v>
      </c>
      <c r="C39" s="97">
        <v>36.6</v>
      </c>
      <c r="D39" s="96">
        <v>139.19999999999999</v>
      </c>
      <c r="E39" s="97"/>
      <c r="F39" s="96"/>
      <c r="G39" s="96"/>
      <c r="H39" s="96"/>
      <c r="I39" s="35">
        <v>2070</v>
      </c>
      <c r="J39" s="35"/>
      <c r="K39" s="30"/>
      <c r="L39" s="30"/>
      <c r="M39" s="30"/>
      <c r="N39" s="30"/>
      <c r="O39" s="36"/>
      <c r="P39" s="31"/>
    </row>
    <row r="40" spans="1:16" x14ac:dyDescent="0.25">
      <c r="A40" s="91" t="s">
        <v>67</v>
      </c>
      <c r="B40" s="103">
        <v>48.5</v>
      </c>
      <c r="C40">
        <v>26.9</v>
      </c>
      <c r="D40" s="96">
        <v>100.2</v>
      </c>
      <c r="E40" s="97"/>
      <c r="F40" s="96"/>
      <c r="G40" s="97">
        <v>24.3</v>
      </c>
      <c r="H40" s="97"/>
      <c r="I40" s="35"/>
      <c r="J40" s="35"/>
      <c r="K40" s="35"/>
      <c r="L40" s="30"/>
      <c r="M40" s="30"/>
      <c r="N40" s="30"/>
      <c r="O40" s="36"/>
      <c r="P40" s="31"/>
    </row>
    <row r="41" spans="1:16" x14ac:dyDescent="0.25">
      <c r="A41" s="91" t="s">
        <v>68</v>
      </c>
      <c r="B41" s="98"/>
      <c r="C41">
        <v>24.9</v>
      </c>
      <c r="D41" s="96">
        <v>118</v>
      </c>
      <c r="E41" s="97"/>
      <c r="F41" s="96"/>
      <c r="G41" s="97">
        <v>29.5</v>
      </c>
      <c r="H41" s="97"/>
      <c r="I41" s="35"/>
      <c r="J41" s="35"/>
      <c r="K41" s="30"/>
      <c r="L41" s="30"/>
      <c r="M41" s="30"/>
      <c r="N41" s="30"/>
      <c r="O41" s="36"/>
      <c r="P41" s="31"/>
    </row>
    <row r="42" spans="1:16" x14ac:dyDescent="0.25">
      <c r="A42" s="91" t="s">
        <v>69</v>
      </c>
      <c r="B42" s="98">
        <v>60.3</v>
      </c>
      <c r="C42">
        <v>38</v>
      </c>
      <c r="D42" s="96">
        <v>153.9</v>
      </c>
      <c r="E42" s="96"/>
      <c r="F42" s="96"/>
      <c r="G42" s="96"/>
      <c r="H42" s="96"/>
      <c r="I42" s="30"/>
      <c r="J42" s="35"/>
      <c r="K42" s="30"/>
      <c r="L42" s="30"/>
      <c r="M42" s="30"/>
      <c r="N42" s="30"/>
      <c r="O42" s="36"/>
      <c r="P42" s="31"/>
    </row>
    <row r="43" spans="1:16" x14ac:dyDescent="0.25">
      <c r="A43" s="91" t="s">
        <v>70</v>
      </c>
      <c r="B43" s="98"/>
      <c r="C43">
        <v>33.299999999999997</v>
      </c>
      <c r="D43" s="96">
        <v>107.7</v>
      </c>
      <c r="E43" s="97"/>
      <c r="F43" s="96"/>
      <c r="G43" s="97"/>
      <c r="H43" s="97"/>
      <c r="I43" s="35"/>
      <c r="J43" s="35"/>
      <c r="K43" s="35">
        <v>2410</v>
      </c>
      <c r="L43" s="35"/>
      <c r="M43" s="30"/>
      <c r="N43" s="30"/>
      <c r="O43" s="36"/>
      <c r="P43" s="31"/>
    </row>
    <row r="44" spans="1:16" x14ac:dyDescent="0.25">
      <c r="A44" s="91" t="s">
        <v>71</v>
      </c>
      <c r="B44" s="98">
        <v>62.1</v>
      </c>
      <c r="C44">
        <v>38</v>
      </c>
      <c r="D44" s="96">
        <v>160.5</v>
      </c>
      <c r="E44" s="97"/>
      <c r="F44" s="96"/>
      <c r="G44" s="96"/>
      <c r="H44" s="96"/>
      <c r="I44" s="30"/>
      <c r="J44" s="35"/>
      <c r="K44" s="30"/>
      <c r="L44" s="30"/>
      <c r="M44" s="30"/>
      <c r="N44" s="30"/>
      <c r="O44" s="36"/>
      <c r="P44" s="31"/>
    </row>
    <row r="45" spans="1:16" x14ac:dyDescent="0.25">
      <c r="A45" s="91" t="s">
        <v>72</v>
      </c>
      <c r="B45" s="98">
        <v>51.7</v>
      </c>
      <c r="C45">
        <v>25.6</v>
      </c>
      <c r="D45" s="96"/>
      <c r="E45" s="97">
        <v>68.5</v>
      </c>
      <c r="F45" s="97"/>
      <c r="G45" s="97">
        <v>22.2</v>
      </c>
      <c r="H45" s="97"/>
      <c r="I45" s="35">
        <v>1900</v>
      </c>
      <c r="J45" s="35"/>
      <c r="K45" s="35"/>
      <c r="L45" s="30"/>
      <c r="M45" s="30"/>
      <c r="N45" s="30"/>
      <c r="O45" s="36"/>
      <c r="P45" s="31"/>
    </row>
    <row r="46" spans="1:16" x14ac:dyDescent="0.25">
      <c r="A46" s="91" t="s">
        <v>73</v>
      </c>
      <c r="B46" s="98">
        <v>61.4</v>
      </c>
      <c r="C46">
        <v>35.799999999999997</v>
      </c>
      <c r="D46" s="96">
        <v>145.69999999999999</v>
      </c>
      <c r="E46" s="96"/>
      <c r="F46" s="96"/>
      <c r="G46" s="96"/>
      <c r="H46" s="96"/>
      <c r="I46" s="30"/>
      <c r="J46" s="35"/>
      <c r="K46" s="30"/>
      <c r="L46" s="30"/>
      <c r="M46" s="30"/>
      <c r="N46" s="30"/>
      <c r="O46" s="36"/>
      <c r="P46" s="31"/>
    </row>
    <row r="47" spans="1:16" x14ac:dyDescent="0.25">
      <c r="A47" s="91" t="s">
        <v>74</v>
      </c>
      <c r="B47" s="98"/>
      <c r="C47">
        <v>25.3</v>
      </c>
      <c r="D47" s="96"/>
      <c r="E47" s="97"/>
      <c r="F47" s="97">
        <v>61</v>
      </c>
      <c r="G47" s="97"/>
      <c r="H47" s="97"/>
      <c r="I47" s="35"/>
      <c r="J47" s="35"/>
      <c r="K47" s="35"/>
      <c r="L47" s="30"/>
      <c r="M47" s="30"/>
      <c r="N47" s="30"/>
      <c r="O47" s="36"/>
      <c r="P47" s="31"/>
    </row>
    <row r="48" spans="1:16" x14ac:dyDescent="0.25">
      <c r="A48" s="91" t="s">
        <v>75</v>
      </c>
      <c r="B48" s="98"/>
      <c r="C48" s="99"/>
      <c r="D48" s="96"/>
      <c r="E48" s="97"/>
      <c r="F48" s="97"/>
      <c r="G48" s="96"/>
      <c r="H48" s="96"/>
      <c r="I48" s="30"/>
      <c r="J48" s="126">
        <v>1880</v>
      </c>
      <c r="K48" s="30"/>
      <c r="L48" s="30"/>
      <c r="M48" s="30"/>
      <c r="N48" s="30"/>
      <c r="O48" s="36"/>
      <c r="P48" s="31"/>
    </row>
    <row r="49" spans="1:16" x14ac:dyDescent="0.25">
      <c r="A49" s="91" t="s">
        <v>76</v>
      </c>
      <c r="B49" s="98"/>
      <c r="C49" s="99"/>
      <c r="D49" s="96">
        <v>76.099999999999994</v>
      </c>
      <c r="E49" s="97"/>
      <c r="F49" s="97"/>
      <c r="G49" s="96"/>
      <c r="H49" s="96"/>
      <c r="I49" s="35">
        <v>1620</v>
      </c>
      <c r="J49" s="35"/>
      <c r="K49" s="35"/>
      <c r="L49" s="30"/>
      <c r="M49" s="30"/>
      <c r="N49" s="30"/>
      <c r="O49" s="36"/>
      <c r="P49" s="31"/>
    </row>
    <row r="50" spans="1:16" x14ac:dyDescent="0.25">
      <c r="A50" s="91" t="s">
        <v>77</v>
      </c>
      <c r="B50" s="98"/>
      <c r="C50" s="99"/>
      <c r="D50" s="96">
        <v>71.7</v>
      </c>
      <c r="E50" s="97">
        <v>72</v>
      </c>
      <c r="F50" s="97"/>
      <c r="G50" s="97"/>
      <c r="H50" s="97"/>
      <c r="I50" s="35"/>
      <c r="J50" s="126">
        <v>1520</v>
      </c>
      <c r="K50" s="30"/>
      <c r="L50" s="30"/>
      <c r="M50" s="30"/>
      <c r="N50" s="30"/>
      <c r="O50" s="36"/>
      <c r="P50" s="31"/>
    </row>
    <row r="51" spans="1:16" x14ac:dyDescent="0.25">
      <c r="A51" s="91" t="s">
        <v>78</v>
      </c>
      <c r="B51" s="98">
        <v>54.2</v>
      </c>
      <c r="C51">
        <v>37.200000000000003</v>
      </c>
      <c r="D51" s="96">
        <v>148.80000000000001</v>
      </c>
      <c r="E51" s="97"/>
      <c r="F51" s="96"/>
      <c r="G51" s="96"/>
      <c r="H51" s="96"/>
      <c r="I51" s="30"/>
      <c r="J51" s="126">
        <v>1870</v>
      </c>
      <c r="K51" s="30"/>
      <c r="L51" s="30"/>
      <c r="M51" s="30"/>
      <c r="N51" s="30"/>
      <c r="O51" s="36"/>
      <c r="P51" s="31"/>
    </row>
    <row r="52" spans="1:16" x14ac:dyDescent="0.25">
      <c r="A52" s="91" t="s">
        <v>79</v>
      </c>
      <c r="B52" s="98">
        <v>53.4</v>
      </c>
      <c r="C52">
        <v>31.3</v>
      </c>
      <c r="D52" s="96">
        <v>117.2</v>
      </c>
      <c r="E52" s="97"/>
      <c r="F52" s="97"/>
      <c r="G52" s="97"/>
      <c r="H52" s="97"/>
      <c r="I52" s="35"/>
      <c r="J52" s="35"/>
      <c r="K52" s="35">
        <v>2260</v>
      </c>
      <c r="L52" s="30"/>
      <c r="M52" s="30"/>
      <c r="N52" s="30"/>
      <c r="O52" s="36"/>
      <c r="P52" s="31"/>
    </row>
    <row r="53" spans="1:16" x14ac:dyDescent="0.25">
      <c r="A53" s="91" t="s">
        <v>80</v>
      </c>
      <c r="B53" s="98">
        <v>51.9</v>
      </c>
      <c r="C53">
        <v>29.3</v>
      </c>
      <c r="D53" s="96">
        <v>116.8</v>
      </c>
      <c r="E53" s="97"/>
      <c r="F53" s="96"/>
      <c r="G53" s="97">
        <v>28.1</v>
      </c>
      <c r="H53" s="97"/>
      <c r="I53" s="35">
        <v>1840</v>
      </c>
      <c r="J53" s="35"/>
      <c r="K53" s="30"/>
      <c r="L53" s="30"/>
      <c r="M53" s="30"/>
      <c r="N53" s="30"/>
      <c r="O53" s="36"/>
      <c r="P53" s="31"/>
    </row>
    <row r="54" spans="1:16" x14ac:dyDescent="0.25">
      <c r="A54" s="91" t="s">
        <v>81</v>
      </c>
      <c r="B54" s="98">
        <v>65.3</v>
      </c>
      <c r="C54">
        <v>38</v>
      </c>
      <c r="D54" s="96">
        <v>149.1</v>
      </c>
      <c r="E54" s="97">
        <v>81.8</v>
      </c>
      <c r="F54" s="97"/>
      <c r="G54" s="96"/>
      <c r="H54" s="96"/>
      <c r="I54" s="30"/>
      <c r="J54" s="126">
        <v>1810</v>
      </c>
      <c r="K54" s="30"/>
      <c r="L54" s="30"/>
      <c r="M54" s="30"/>
      <c r="N54" s="30"/>
      <c r="O54" s="36"/>
      <c r="P54" s="31"/>
    </row>
    <row r="55" spans="1:16" x14ac:dyDescent="0.25">
      <c r="A55" s="91" t="s">
        <v>82</v>
      </c>
      <c r="B55" s="98">
        <v>47.3</v>
      </c>
      <c r="C55">
        <v>30.4</v>
      </c>
      <c r="D55" s="96">
        <v>138.1</v>
      </c>
      <c r="E55" s="97"/>
      <c r="F55" s="97"/>
      <c r="G55" s="97"/>
      <c r="H55" s="97"/>
      <c r="I55" s="35">
        <v>1770</v>
      </c>
      <c r="J55" s="126">
        <v>1470</v>
      </c>
      <c r="K55" s="30"/>
      <c r="L55" s="30"/>
      <c r="M55" s="30"/>
      <c r="N55" s="30"/>
      <c r="O55" s="36"/>
      <c r="P55" s="31"/>
    </row>
    <row r="56" spans="1:16" x14ac:dyDescent="0.25">
      <c r="A56" s="91" t="s">
        <v>83</v>
      </c>
      <c r="B56" s="98">
        <v>49.3</v>
      </c>
      <c r="C56">
        <v>32.299999999999997</v>
      </c>
      <c r="D56" s="96">
        <v>108.7</v>
      </c>
      <c r="E56" s="97">
        <v>65.8</v>
      </c>
      <c r="F56" s="97"/>
      <c r="G56" s="97">
        <v>26.1</v>
      </c>
      <c r="H56" s="97"/>
      <c r="I56" s="35">
        <v>1780</v>
      </c>
      <c r="J56" s="35"/>
      <c r="K56" s="35"/>
      <c r="L56" s="35"/>
      <c r="M56" s="30"/>
      <c r="N56" s="30"/>
      <c r="O56" s="36"/>
      <c r="P56" s="31"/>
    </row>
    <row r="57" spans="1:16" x14ac:dyDescent="0.25">
      <c r="A57" s="91" t="s">
        <v>84</v>
      </c>
      <c r="B57" s="98">
        <v>49.5</v>
      </c>
      <c r="C57">
        <v>27.6</v>
      </c>
      <c r="D57" s="96">
        <v>104.2</v>
      </c>
      <c r="E57" s="97"/>
      <c r="F57" s="97">
        <v>74.900000000000006</v>
      </c>
      <c r="G57" s="97"/>
      <c r="H57" s="97"/>
      <c r="I57" s="35"/>
      <c r="J57" s="126">
        <v>1640</v>
      </c>
      <c r="K57" s="35">
        <v>1690</v>
      </c>
      <c r="L57" s="30"/>
      <c r="M57" s="30"/>
      <c r="N57" s="30"/>
      <c r="O57" s="36"/>
      <c r="P57" s="31"/>
    </row>
    <row r="58" spans="1:16" ht="15.75" thickBot="1" x14ac:dyDescent="0.3">
      <c r="A58" s="106" t="s">
        <v>85</v>
      </c>
      <c r="B58" s="100">
        <v>35.299999999999997</v>
      </c>
      <c r="C58" s="101"/>
      <c r="D58" s="109">
        <v>71.8</v>
      </c>
      <c r="E58" s="101">
        <v>54</v>
      </c>
      <c r="F58" s="101"/>
      <c r="G58" s="101">
        <v>17.3</v>
      </c>
      <c r="H58" s="101"/>
      <c r="I58" s="37"/>
      <c r="J58" s="37"/>
      <c r="K58" s="37"/>
      <c r="L58" s="37">
        <v>1280</v>
      </c>
      <c r="M58" s="32"/>
      <c r="N58" s="32"/>
      <c r="O58" s="38"/>
      <c r="P58" s="33"/>
    </row>
    <row r="59" spans="1:16" x14ac:dyDescent="0.25">
      <c r="A59" s="127" t="s">
        <v>86</v>
      </c>
      <c r="B59" s="95"/>
      <c r="C59" s="102">
        <v>32</v>
      </c>
      <c r="D59" s="115"/>
      <c r="E59" s="102"/>
      <c r="F59" s="102">
        <v>64.900000000000006</v>
      </c>
      <c r="G59" s="102"/>
      <c r="H59" s="102"/>
      <c r="I59" s="102"/>
      <c r="J59" s="102"/>
      <c r="K59" s="102"/>
      <c r="L59" s="102"/>
      <c r="M59" s="102"/>
      <c r="N59" s="102"/>
      <c r="O59" s="102"/>
      <c r="P59" s="128"/>
    </row>
    <row r="60" spans="1:16" x14ac:dyDescent="0.25">
      <c r="A60" s="107" t="s">
        <v>87</v>
      </c>
      <c r="B60" s="103"/>
      <c r="C60" s="2">
        <v>42.5</v>
      </c>
      <c r="D60" s="96">
        <v>132.1</v>
      </c>
      <c r="E60" s="2"/>
      <c r="F60" s="2"/>
      <c r="G60" s="2"/>
      <c r="H60" s="2"/>
      <c r="I60" s="2"/>
      <c r="J60" s="2"/>
      <c r="K60" s="2"/>
      <c r="L60" s="2"/>
      <c r="M60" s="2"/>
      <c r="N60" s="2"/>
      <c r="O60" s="2"/>
      <c r="P60" s="89"/>
    </row>
    <row r="61" spans="1:16" x14ac:dyDescent="0.25">
      <c r="A61" s="107" t="s">
        <v>88</v>
      </c>
      <c r="B61" s="103"/>
      <c r="C61" s="97"/>
      <c r="D61" s="96"/>
      <c r="E61" s="2"/>
      <c r="F61" s="2">
        <v>60.2</v>
      </c>
      <c r="G61" s="2"/>
      <c r="H61" s="2"/>
      <c r="I61" s="2"/>
      <c r="J61" s="2"/>
      <c r="K61" s="2"/>
      <c r="L61" s="2"/>
      <c r="M61" s="2"/>
      <c r="N61" s="2"/>
      <c r="O61" s="2"/>
      <c r="P61" s="89"/>
    </row>
    <row r="62" spans="1:16" x14ac:dyDescent="0.25">
      <c r="A62" s="107" t="s">
        <v>89</v>
      </c>
      <c r="B62" s="103"/>
      <c r="C62" s="97"/>
      <c r="D62" s="96"/>
      <c r="E62" s="2"/>
      <c r="F62" s="104">
        <v>85.1</v>
      </c>
      <c r="G62" s="2"/>
      <c r="H62" s="2"/>
      <c r="I62" s="2"/>
      <c r="J62" s="2"/>
      <c r="K62" s="2"/>
      <c r="L62" s="2"/>
      <c r="M62" s="2"/>
      <c r="N62" s="2"/>
      <c r="O62" s="2"/>
      <c r="P62" s="89"/>
    </row>
    <row r="63" spans="1:16" x14ac:dyDescent="0.25">
      <c r="A63" s="107" t="s">
        <v>90</v>
      </c>
      <c r="B63" s="103"/>
      <c r="C63" s="2">
        <v>47.3</v>
      </c>
      <c r="D63" s="96">
        <v>167.3</v>
      </c>
      <c r="E63" s="2"/>
      <c r="F63" s="104"/>
      <c r="G63" s="2"/>
      <c r="H63" s="2"/>
      <c r="I63" s="2"/>
      <c r="J63" s="2"/>
      <c r="K63" s="2"/>
      <c r="L63" s="2"/>
      <c r="M63" s="2"/>
      <c r="N63" s="2"/>
      <c r="O63" s="2"/>
      <c r="P63" s="89"/>
    </row>
    <row r="64" spans="1:16" x14ac:dyDescent="0.25">
      <c r="A64" s="107" t="s">
        <v>91</v>
      </c>
      <c r="B64" s="103">
        <v>61.4</v>
      </c>
      <c r="C64" s="2">
        <v>46.9</v>
      </c>
      <c r="D64" s="96">
        <v>173.7</v>
      </c>
      <c r="E64" s="2"/>
      <c r="F64" s="2"/>
      <c r="G64" s="2"/>
      <c r="H64" s="2"/>
      <c r="I64" s="2"/>
      <c r="J64" s="2"/>
      <c r="K64" s="2"/>
      <c r="L64" s="2"/>
      <c r="M64" s="2"/>
      <c r="N64" s="2"/>
      <c r="O64" s="2"/>
      <c r="P64" s="89"/>
    </row>
    <row r="65" spans="1:16" x14ac:dyDescent="0.25">
      <c r="A65" s="107" t="s">
        <v>92</v>
      </c>
      <c r="B65" s="103"/>
      <c r="C65" s="2">
        <v>59.8</v>
      </c>
      <c r="D65" s="96">
        <v>201.4</v>
      </c>
      <c r="E65" s="2"/>
      <c r="F65" s="104"/>
      <c r="G65" s="2"/>
      <c r="H65" s="2"/>
      <c r="I65" s="2"/>
      <c r="J65" s="2"/>
      <c r="K65" s="2"/>
      <c r="L65" s="2"/>
      <c r="M65" s="2"/>
      <c r="N65" s="2"/>
      <c r="O65" s="2"/>
      <c r="P65" s="89"/>
    </row>
    <row r="66" spans="1:16" x14ac:dyDescent="0.25">
      <c r="A66" s="107" t="s">
        <v>93</v>
      </c>
      <c r="B66" s="103"/>
      <c r="C66" s="2">
        <v>56.5</v>
      </c>
      <c r="D66" s="96">
        <v>189</v>
      </c>
      <c r="E66" s="2"/>
      <c r="F66" s="104">
        <v>102.9</v>
      </c>
      <c r="G66" s="2"/>
      <c r="H66" s="2"/>
      <c r="I66" s="2"/>
      <c r="J66" s="2"/>
      <c r="K66" s="2"/>
      <c r="L66" s="2"/>
      <c r="M66" s="2"/>
      <c r="N66" s="2"/>
      <c r="O66" s="2"/>
      <c r="P66" s="89"/>
    </row>
    <row r="67" spans="1:16" x14ac:dyDescent="0.25">
      <c r="A67" s="107" t="s">
        <v>94</v>
      </c>
      <c r="B67" s="103"/>
      <c r="C67" s="97"/>
      <c r="D67" s="96"/>
      <c r="E67" s="2"/>
      <c r="F67" s="2"/>
      <c r="G67" s="2"/>
      <c r="H67" s="2"/>
      <c r="I67" s="2"/>
      <c r="J67" s="2"/>
      <c r="K67" s="2"/>
      <c r="L67" s="2"/>
      <c r="M67" s="2"/>
      <c r="N67" s="2"/>
      <c r="O67" s="2"/>
      <c r="P67" s="89"/>
    </row>
    <row r="68" spans="1:16" x14ac:dyDescent="0.25">
      <c r="A68" s="107" t="s">
        <v>95</v>
      </c>
      <c r="B68" s="103">
        <v>59.3</v>
      </c>
      <c r="C68" s="2">
        <v>58.5</v>
      </c>
      <c r="D68" s="96">
        <v>200.2</v>
      </c>
      <c r="E68" s="2"/>
      <c r="F68" s="104">
        <v>83.7</v>
      </c>
      <c r="G68" s="2"/>
      <c r="H68" s="2"/>
      <c r="I68" s="2"/>
      <c r="J68" s="2"/>
      <c r="K68" s="2"/>
      <c r="L68" s="2"/>
      <c r="M68" s="2"/>
      <c r="N68" s="2"/>
      <c r="O68" s="2"/>
      <c r="P68" s="89"/>
    </row>
    <row r="69" spans="1:16" x14ac:dyDescent="0.25">
      <c r="A69" s="107" t="s">
        <v>96</v>
      </c>
      <c r="B69" s="103"/>
      <c r="C69" s="97"/>
      <c r="D69" s="96"/>
      <c r="E69" s="2"/>
      <c r="F69" s="2">
        <v>33.200000000000003</v>
      </c>
      <c r="G69" s="2"/>
      <c r="H69" s="2"/>
      <c r="I69" s="2"/>
      <c r="J69" s="2"/>
      <c r="K69" s="2"/>
      <c r="L69" s="2"/>
      <c r="M69" s="2"/>
      <c r="N69" s="2"/>
      <c r="O69" s="2"/>
      <c r="P69" s="89"/>
    </row>
    <row r="70" spans="1:16" x14ac:dyDescent="0.25">
      <c r="A70" s="107" t="s">
        <v>97</v>
      </c>
      <c r="B70" s="103">
        <v>58.5</v>
      </c>
      <c r="C70" s="2">
        <v>50.3</v>
      </c>
      <c r="D70" s="96">
        <v>193.5</v>
      </c>
      <c r="E70" s="2"/>
      <c r="F70" s="2"/>
      <c r="G70" s="2"/>
      <c r="H70" s="2"/>
      <c r="I70" s="2"/>
      <c r="J70" s="2"/>
      <c r="K70" s="2"/>
      <c r="L70" s="2"/>
      <c r="M70" s="2"/>
      <c r="N70" s="2"/>
      <c r="O70" s="2"/>
      <c r="P70" s="89"/>
    </row>
    <row r="71" spans="1:16" x14ac:dyDescent="0.25">
      <c r="A71" s="107" t="s">
        <v>98</v>
      </c>
      <c r="B71" s="103"/>
      <c r="C71" s="2">
        <v>45.8</v>
      </c>
      <c r="D71" s="96">
        <v>173.1</v>
      </c>
      <c r="E71" s="2"/>
      <c r="F71" s="104">
        <v>72.3</v>
      </c>
      <c r="G71" s="2"/>
      <c r="H71" s="2"/>
      <c r="I71" s="2"/>
      <c r="J71" s="2"/>
      <c r="K71" s="2"/>
      <c r="L71" s="2"/>
      <c r="M71" s="2"/>
      <c r="N71" s="2"/>
      <c r="O71" s="2"/>
      <c r="P71" s="89"/>
    </row>
    <row r="72" spans="1:16" x14ac:dyDescent="0.25">
      <c r="A72" s="107" t="s">
        <v>99</v>
      </c>
      <c r="B72" s="103"/>
      <c r="C72" s="2">
        <v>40.6</v>
      </c>
      <c r="D72" s="96">
        <v>156.5</v>
      </c>
      <c r="E72" s="2"/>
      <c r="F72" s="2"/>
      <c r="G72" s="2"/>
      <c r="H72" s="2"/>
      <c r="I72" s="2"/>
      <c r="J72" s="2"/>
      <c r="K72" s="2"/>
      <c r="L72" s="2"/>
      <c r="M72" s="2"/>
      <c r="N72" s="2"/>
      <c r="O72" s="2"/>
      <c r="P72" s="89"/>
    </row>
    <row r="73" spans="1:16" x14ac:dyDescent="0.25">
      <c r="A73" s="107" t="s">
        <v>100</v>
      </c>
      <c r="B73" s="103">
        <v>54.7</v>
      </c>
      <c r="C73" s="97"/>
      <c r="D73" s="96"/>
      <c r="E73" s="2"/>
      <c r="F73" s="104">
        <v>72.3</v>
      </c>
      <c r="G73" s="2"/>
      <c r="H73" s="2"/>
      <c r="I73" s="2"/>
      <c r="J73" s="2"/>
      <c r="K73" s="2"/>
      <c r="L73" s="2"/>
      <c r="M73" s="2"/>
      <c r="N73" s="2"/>
      <c r="O73" s="2"/>
      <c r="P73" s="89"/>
    </row>
    <row r="74" spans="1:16" x14ac:dyDescent="0.25">
      <c r="A74" s="107" t="s">
        <v>174</v>
      </c>
      <c r="B74" s="103"/>
      <c r="C74" s="97"/>
      <c r="D74" s="96"/>
      <c r="E74" s="2"/>
      <c r="F74" s="2"/>
      <c r="G74" s="2"/>
      <c r="H74" s="2"/>
      <c r="I74" s="2"/>
      <c r="J74" s="2"/>
      <c r="K74" s="2"/>
      <c r="L74" s="2"/>
      <c r="M74" s="2"/>
      <c r="N74" s="2"/>
      <c r="O74" s="2"/>
      <c r="P74" s="89"/>
    </row>
    <row r="75" spans="1:16" x14ac:dyDescent="0.25">
      <c r="A75" s="107" t="s">
        <v>101</v>
      </c>
      <c r="B75" s="103"/>
      <c r="C75" s="2">
        <v>56.8</v>
      </c>
      <c r="D75" s="96">
        <v>199.5</v>
      </c>
      <c r="E75" s="2"/>
      <c r="F75" s="2"/>
      <c r="G75" s="2"/>
      <c r="H75" s="2"/>
      <c r="I75" s="2"/>
      <c r="J75" s="2"/>
      <c r="K75" s="2"/>
      <c r="L75" s="2"/>
      <c r="M75" s="2"/>
      <c r="N75" s="2"/>
      <c r="O75" s="2"/>
      <c r="P75" s="89"/>
    </row>
    <row r="76" spans="1:16" x14ac:dyDescent="0.25">
      <c r="A76" s="107" t="s">
        <v>102</v>
      </c>
      <c r="B76" s="103"/>
      <c r="C76" s="97"/>
      <c r="D76" s="96">
        <v>114.9</v>
      </c>
      <c r="E76" s="2"/>
      <c r="F76" s="2"/>
      <c r="G76" s="2"/>
      <c r="H76" s="2"/>
      <c r="I76" s="2"/>
      <c r="J76" s="2"/>
      <c r="K76" s="2"/>
      <c r="L76" s="2"/>
      <c r="M76" s="2"/>
      <c r="N76" s="2"/>
      <c r="O76" s="2"/>
      <c r="P76" s="89"/>
    </row>
    <row r="77" spans="1:16" x14ac:dyDescent="0.25">
      <c r="A77" s="107" t="s">
        <v>103</v>
      </c>
      <c r="B77" s="103"/>
      <c r="C77" s="2">
        <v>53.9</v>
      </c>
      <c r="D77" s="96">
        <v>199.5</v>
      </c>
      <c r="E77" s="2"/>
      <c r="F77" s="2">
        <v>79.099999999999994</v>
      </c>
      <c r="G77" s="2"/>
      <c r="H77" s="2"/>
      <c r="I77" s="2"/>
      <c r="J77" s="2"/>
      <c r="K77" s="2"/>
      <c r="L77" s="2"/>
      <c r="M77" s="2"/>
      <c r="N77" s="2"/>
      <c r="O77" s="2"/>
      <c r="P77" s="89"/>
    </row>
    <row r="78" spans="1:16" x14ac:dyDescent="0.25">
      <c r="A78" s="107" t="s">
        <v>104</v>
      </c>
      <c r="B78" s="103"/>
      <c r="C78" s="2">
        <v>60.6</v>
      </c>
      <c r="D78" s="96">
        <v>204</v>
      </c>
      <c r="E78" s="2"/>
      <c r="F78" s="2">
        <v>76</v>
      </c>
      <c r="G78" s="2"/>
      <c r="H78" s="2"/>
      <c r="I78" s="2"/>
      <c r="J78" s="2"/>
      <c r="K78" s="2"/>
      <c r="L78" s="2"/>
      <c r="M78" s="2"/>
      <c r="N78" s="2"/>
      <c r="O78" s="2"/>
      <c r="P78" s="89"/>
    </row>
    <row r="79" spans="1:16" x14ac:dyDescent="0.25">
      <c r="A79" s="107" t="s">
        <v>173</v>
      </c>
      <c r="B79" s="103">
        <v>56</v>
      </c>
      <c r="C79" s="2">
        <v>47.4</v>
      </c>
      <c r="D79" s="96">
        <v>177.8</v>
      </c>
      <c r="E79" s="2"/>
      <c r="F79" s="2"/>
      <c r="G79" s="2"/>
      <c r="H79" s="2"/>
      <c r="I79" s="2"/>
      <c r="J79" s="2"/>
      <c r="K79" s="2"/>
      <c r="L79" s="2"/>
      <c r="M79" s="2"/>
      <c r="N79" s="2"/>
      <c r="O79" s="2"/>
      <c r="P79" s="89"/>
    </row>
    <row r="80" spans="1:16" x14ac:dyDescent="0.25">
      <c r="A80" s="107" t="s">
        <v>105</v>
      </c>
      <c r="B80" s="103">
        <v>53</v>
      </c>
      <c r="C80" s="2">
        <v>43.9</v>
      </c>
      <c r="D80" s="96">
        <v>172.6</v>
      </c>
      <c r="E80" s="2"/>
      <c r="F80" s="2">
        <v>58.4</v>
      </c>
      <c r="G80" s="2"/>
      <c r="H80" s="2"/>
      <c r="I80" s="2"/>
      <c r="J80" s="2">
        <v>2300</v>
      </c>
      <c r="K80" s="2"/>
      <c r="L80" s="2"/>
      <c r="M80" s="2"/>
      <c r="N80" s="2"/>
      <c r="O80" s="2"/>
      <c r="P80" s="89"/>
    </row>
    <row r="81" spans="1:16" x14ac:dyDescent="0.25">
      <c r="A81" s="107" t="s">
        <v>106</v>
      </c>
      <c r="B81" s="103">
        <v>64.400000000000006</v>
      </c>
      <c r="C81" s="2">
        <v>35.6</v>
      </c>
      <c r="D81" s="96">
        <v>160.69999999999999</v>
      </c>
      <c r="E81" s="2"/>
      <c r="F81" s="104">
        <v>80.3</v>
      </c>
      <c r="G81" s="2"/>
      <c r="H81" s="2"/>
      <c r="I81" s="2"/>
      <c r="J81" s="2"/>
      <c r="K81" s="2"/>
      <c r="L81" s="2"/>
      <c r="M81" s="2"/>
      <c r="N81" s="2"/>
      <c r="O81" s="2"/>
      <c r="P81" s="89"/>
    </row>
    <row r="82" spans="1:16" x14ac:dyDescent="0.25">
      <c r="A82" s="107" t="s">
        <v>107</v>
      </c>
      <c r="B82" s="103"/>
      <c r="C82" s="2">
        <v>61.3</v>
      </c>
      <c r="D82" s="96">
        <v>207.4</v>
      </c>
      <c r="E82" s="2"/>
      <c r="F82" s="2"/>
      <c r="G82" s="2"/>
      <c r="H82" s="2"/>
      <c r="I82" s="2"/>
      <c r="J82" s="2"/>
      <c r="K82" s="2"/>
      <c r="L82" s="2"/>
      <c r="M82" s="2"/>
      <c r="N82" s="2"/>
      <c r="O82" s="2"/>
      <c r="P82" s="89"/>
    </row>
    <row r="83" spans="1:16" x14ac:dyDescent="0.25">
      <c r="A83" s="107" t="s">
        <v>108</v>
      </c>
      <c r="B83" s="103"/>
      <c r="C83" s="2">
        <v>56.3</v>
      </c>
      <c r="D83" s="96">
        <v>192</v>
      </c>
      <c r="E83" s="2">
        <v>61.8</v>
      </c>
      <c r="F83" s="2">
        <v>75.599999999999994</v>
      </c>
      <c r="G83" s="2"/>
      <c r="H83" s="2"/>
      <c r="I83" s="2"/>
      <c r="J83" s="2"/>
      <c r="K83" s="2"/>
      <c r="L83" s="2"/>
      <c r="M83" s="2"/>
      <c r="N83" s="2"/>
      <c r="O83" s="2"/>
      <c r="P83" s="89"/>
    </row>
    <row r="84" spans="1:16" x14ac:dyDescent="0.25">
      <c r="A84" s="107" t="s">
        <v>109</v>
      </c>
      <c r="B84" s="103"/>
      <c r="C84" s="2">
        <v>58.6</v>
      </c>
      <c r="D84" s="96">
        <v>201.8</v>
      </c>
      <c r="E84" s="2"/>
      <c r="F84" s="2"/>
      <c r="G84" s="2"/>
      <c r="H84" s="2"/>
      <c r="I84" s="2"/>
      <c r="J84" s="2"/>
      <c r="K84" s="2"/>
      <c r="L84" s="2"/>
      <c r="M84" s="2"/>
      <c r="N84" s="2"/>
      <c r="O84" s="2"/>
      <c r="P84" s="89"/>
    </row>
    <row r="85" spans="1:16" x14ac:dyDescent="0.25">
      <c r="A85" s="107" t="s">
        <v>110</v>
      </c>
      <c r="B85" s="103"/>
      <c r="C85" s="2">
        <v>58.1</v>
      </c>
      <c r="D85" s="96">
        <v>202.4</v>
      </c>
      <c r="E85" s="2">
        <v>71.900000000000006</v>
      </c>
      <c r="F85" s="2"/>
      <c r="G85" s="2"/>
      <c r="H85" s="2"/>
      <c r="I85" s="2"/>
      <c r="J85" s="2"/>
      <c r="K85" s="2"/>
      <c r="L85" s="2"/>
      <c r="M85" s="2"/>
      <c r="N85" s="2"/>
      <c r="O85" s="2"/>
      <c r="P85" s="89"/>
    </row>
    <row r="86" spans="1:16" x14ac:dyDescent="0.25">
      <c r="A86" s="107" t="s">
        <v>111</v>
      </c>
      <c r="B86" s="103">
        <v>61</v>
      </c>
      <c r="C86" s="2">
        <v>47.4</v>
      </c>
      <c r="D86" s="96">
        <v>176</v>
      </c>
      <c r="E86" s="2"/>
      <c r="F86" s="2"/>
      <c r="G86" s="2"/>
      <c r="H86" s="2"/>
      <c r="I86" s="2"/>
      <c r="J86" s="2"/>
      <c r="K86" s="2"/>
      <c r="L86" s="2"/>
      <c r="M86" s="2"/>
      <c r="N86" s="2"/>
      <c r="O86" s="2"/>
      <c r="P86" s="89"/>
    </row>
    <row r="87" spans="1:16" x14ac:dyDescent="0.25">
      <c r="A87" s="107" t="s">
        <v>112</v>
      </c>
      <c r="B87" s="103">
        <v>53.9</v>
      </c>
      <c r="C87" s="2">
        <v>54.8</v>
      </c>
      <c r="D87" s="96">
        <v>198.5</v>
      </c>
      <c r="E87" s="2"/>
      <c r="F87" s="104"/>
      <c r="G87" s="2"/>
      <c r="H87" s="2"/>
      <c r="I87" s="2"/>
      <c r="J87" s="2"/>
      <c r="K87" s="2"/>
      <c r="L87" s="2"/>
      <c r="M87" s="2"/>
      <c r="N87" s="2"/>
      <c r="O87" s="2"/>
      <c r="P87" s="89"/>
    </row>
    <row r="88" spans="1:16" x14ac:dyDescent="0.25">
      <c r="A88" s="107" t="s">
        <v>113</v>
      </c>
      <c r="B88" s="103"/>
      <c r="C88" s="97"/>
      <c r="D88" s="96">
        <v>185.3</v>
      </c>
      <c r="E88" s="2"/>
      <c r="F88" s="104">
        <v>58.6</v>
      </c>
      <c r="G88" s="2"/>
      <c r="H88" s="2"/>
      <c r="I88" s="2"/>
      <c r="J88" s="2"/>
      <c r="K88" s="2"/>
      <c r="L88" s="2"/>
      <c r="M88" s="2"/>
      <c r="N88" s="2"/>
      <c r="O88" s="2"/>
      <c r="P88" s="89"/>
    </row>
    <row r="89" spans="1:16" x14ac:dyDescent="0.25">
      <c r="A89" s="107" t="s">
        <v>114</v>
      </c>
      <c r="B89" s="103"/>
      <c r="C89" s="97"/>
      <c r="D89" s="96">
        <v>154.69999999999999</v>
      </c>
      <c r="E89" s="2"/>
      <c r="F89" s="104">
        <v>41.3</v>
      </c>
      <c r="G89" s="2"/>
      <c r="H89" s="2"/>
      <c r="I89" s="2"/>
      <c r="J89" s="2"/>
      <c r="K89" s="2"/>
      <c r="L89" s="2"/>
      <c r="M89" s="2"/>
      <c r="N89" s="2"/>
      <c r="O89" s="2"/>
      <c r="P89" s="89"/>
    </row>
    <row r="90" spans="1:16" x14ac:dyDescent="0.25">
      <c r="A90" s="107" t="s">
        <v>115</v>
      </c>
      <c r="B90" s="103"/>
      <c r="C90" s="2">
        <v>43.8</v>
      </c>
      <c r="D90" s="96">
        <v>157.69999999999999</v>
      </c>
      <c r="E90" s="2"/>
      <c r="F90" s="104"/>
      <c r="G90" s="2"/>
      <c r="H90" s="2"/>
      <c r="I90" s="2"/>
      <c r="J90" s="2"/>
      <c r="K90" s="2"/>
      <c r="L90" s="2"/>
      <c r="M90" s="2"/>
      <c r="N90" s="2"/>
      <c r="O90" s="2"/>
      <c r="P90" s="89"/>
    </row>
    <row r="91" spans="1:16" x14ac:dyDescent="0.25">
      <c r="A91" s="107" t="s">
        <v>116</v>
      </c>
      <c r="B91" s="103"/>
      <c r="C91" s="97"/>
      <c r="D91" s="96"/>
      <c r="E91" s="2"/>
      <c r="F91" s="104">
        <v>81.7</v>
      </c>
      <c r="G91" s="2"/>
      <c r="H91" s="2"/>
      <c r="I91" s="2"/>
      <c r="J91" s="2"/>
      <c r="K91" s="2"/>
      <c r="L91" s="2"/>
      <c r="M91" s="2"/>
      <c r="N91" s="2"/>
      <c r="O91" s="2"/>
      <c r="P91" s="89"/>
    </row>
    <row r="92" spans="1:16" x14ac:dyDescent="0.25">
      <c r="A92" s="107" t="s">
        <v>172</v>
      </c>
      <c r="B92" s="103"/>
      <c r="C92" s="2">
        <v>56.7</v>
      </c>
      <c r="D92" s="96">
        <v>200.9</v>
      </c>
      <c r="E92" s="2"/>
      <c r="F92" s="104"/>
      <c r="G92" s="2"/>
      <c r="H92" s="2"/>
      <c r="I92" s="2"/>
      <c r="J92" s="2"/>
      <c r="K92" s="2"/>
      <c r="L92" s="2"/>
      <c r="M92" s="2"/>
      <c r="N92" s="2"/>
      <c r="O92" s="2"/>
      <c r="P92" s="89"/>
    </row>
    <row r="93" spans="1:16" x14ac:dyDescent="0.25">
      <c r="A93" s="107" t="s">
        <v>117</v>
      </c>
      <c r="B93" s="103"/>
      <c r="C93" s="97"/>
      <c r="D93" s="96"/>
      <c r="E93" s="2"/>
      <c r="F93" s="104">
        <v>71</v>
      </c>
      <c r="G93" s="2"/>
      <c r="H93" s="2"/>
      <c r="I93" s="2"/>
      <c r="J93" s="2"/>
      <c r="K93" s="2"/>
      <c r="L93" s="2"/>
      <c r="M93" s="2"/>
      <c r="N93" s="2"/>
      <c r="O93" s="2"/>
      <c r="P93" s="89"/>
    </row>
    <row r="94" spans="1:16" x14ac:dyDescent="0.25">
      <c r="A94" s="107" t="s">
        <v>118</v>
      </c>
      <c r="B94" s="103">
        <v>59.6</v>
      </c>
      <c r="C94" s="2">
        <v>54</v>
      </c>
      <c r="D94" s="96">
        <v>185.5</v>
      </c>
      <c r="E94" s="2"/>
      <c r="F94" s="104"/>
      <c r="G94" s="2"/>
      <c r="H94" s="2"/>
      <c r="I94" s="2"/>
      <c r="J94" s="2"/>
      <c r="K94" s="2"/>
      <c r="L94" s="2"/>
      <c r="M94" s="2"/>
      <c r="N94" s="2"/>
      <c r="O94" s="2"/>
      <c r="P94" s="89"/>
    </row>
    <row r="95" spans="1:16" x14ac:dyDescent="0.25">
      <c r="A95" s="107" t="s">
        <v>119</v>
      </c>
      <c r="B95" s="103">
        <v>55.7</v>
      </c>
      <c r="C95" s="2">
        <v>31.8</v>
      </c>
      <c r="D95" s="96"/>
      <c r="E95" s="2">
        <v>77.599999999999994</v>
      </c>
      <c r="F95" s="2"/>
      <c r="G95" s="2"/>
      <c r="H95" s="2"/>
      <c r="I95" s="2"/>
      <c r="J95" s="2">
        <v>1880</v>
      </c>
      <c r="K95" s="2"/>
      <c r="L95" s="2"/>
      <c r="M95" s="2"/>
      <c r="N95" s="2"/>
      <c r="O95" s="2"/>
      <c r="P95" s="89"/>
    </row>
    <row r="96" spans="1:16" x14ac:dyDescent="0.25">
      <c r="A96" s="107" t="s">
        <v>120</v>
      </c>
      <c r="B96" s="103"/>
      <c r="C96" s="97"/>
      <c r="D96" s="96"/>
      <c r="E96" s="2"/>
      <c r="F96" s="2">
        <v>66.3</v>
      </c>
      <c r="G96" s="2"/>
      <c r="H96" s="2"/>
      <c r="I96" s="2"/>
      <c r="J96" s="2"/>
      <c r="K96" s="2"/>
      <c r="L96" s="2"/>
      <c r="M96" s="2"/>
      <c r="N96" s="2"/>
      <c r="O96" s="2"/>
      <c r="P96" s="89"/>
    </row>
    <row r="97" spans="1:16" x14ac:dyDescent="0.25">
      <c r="A97" s="107" t="s">
        <v>121</v>
      </c>
      <c r="B97" s="103">
        <v>58.4</v>
      </c>
      <c r="C97" s="2">
        <v>50.5</v>
      </c>
      <c r="D97" s="96">
        <v>175.2</v>
      </c>
      <c r="E97" s="2"/>
      <c r="F97" s="2"/>
      <c r="G97" s="2"/>
      <c r="H97" s="2"/>
      <c r="I97" s="2"/>
      <c r="J97" s="2"/>
      <c r="K97" s="2"/>
      <c r="L97" s="2"/>
      <c r="M97" s="2"/>
      <c r="N97" s="2"/>
      <c r="O97" s="2"/>
      <c r="P97" s="89"/>
    </row>
    <row r="98" spans="1:16" x14ac:dyDescent="0.25">
      <c r="A98" s="107" t="s">
        <v>175</v>
      </c>
      <c r="B98" s="103"/>
      <c r="C98" s="97"/>
      <c r="D98" s="96"/>
      <c r="E98" s="2"/>
      <c r="F98" s="2"/>
      <c r="G98" s="2"/>
      <c r="H98" s="2"/>
      <c r="I98" s="2"/>
      <c r="J98" s="2"/>
      <c r="K98" s="2"/>
      <c r="L98" s="2"/>
      <c r="M98" s="2"/>
      <c r="N98" s="2"/>
      <c r="O98" s="2"/>
      <c r="P98" s="89"/>
    </row>
    <row r="99" spans="1:16" x14ac:dyDescent="0.25">
      <c r="A99" s="107" t="s">
        <v>122</v>
      </c>
      <c r="B99" s="103">
        <v>49.1</v>
      </c>
      <c r="C99" s="97"/>
      <c r="D99" s="96"/>
      <c r="E99" s="2"/>
      <c r="F99" s="2">
        <v>75.900000000000006</v>
      </c>
      <c r="G99" s="2"/>
      <c r="H99" s="2"/>
      <c r="I99" s="2"/>
      <c r="J99" s="2"/>
      <c r="K99" s="2"/>
      <c r="L99" s="2"/>
      <c r="M99" s="2"/>
      <c r="N99" s="2"/>
      <c r="O99" s="2"/>
      <c r="P99" s="89"/>
    </row>
    <row r="100" spans="1:16" x14ac:dyDescent="0.25">
      <c r="A100" s="107" t="s">
        <v>123</v>
      </c>
      <c r="B100" s="103"/>
      <c r="C100" s="2">
        <v>56.2</v>
      </c>
      <c r="D100" s="96">
        <v>201.2</v>
      </c>
      <c r="E100" s="2"/>
      <c r="F100" s="2"/>
      <c r="G100" s="2"/>
      <c r="H100" s="2"/>
      <c r="I100" s="2"/>
      <c r="J100" s="2"/>
      <c r="K100" s="2"/>
      <c r="L100" s="2"/>
      <c r="M100" s="2"/>
      <c r="N100" s="2"/>
      <c r="O100" s="2"/>
      <c r="P100" s="89"/>
    </row>
    <row r="101" spans="1:16" x14ac:dyDescent="0.25">
      <c r="A101" s="107" t="s">
        <v>124</v>
      </c>
      <c r="B101" s="103">
        <v>66.099999999999994</v>
      </c>
      <c r="C101" s="97"/>
      <c r="D101" s="96">
        <v>180.7</v>
      </c>
      <c r="E101" s="2"/>
      <c r="F101" s="2">
        <v>118</v>
      </c>
      <c r="G101" s="2"/>
      <c r="H101" s="2"/>
      <c r="I101" s="2"/>
      <c r="J101" s="2"/>
      <c r="K101" s="2"/>
      <c r="L101" s="2"/>
      <c r="M101" s="2"/>
      <c r="N101" s="2"/>
      <c r="O101" s="2"/>
      <c r="P101" s="89"/>
    </row>
    <row r="102" spans="1:16" x14ac:dyDescent="0.25">
      <c r="A102" s="107" t="s">
        <v>125</v>
      </c>
      <c r="B102" s="103">
        <v>69.400000000000006</v>
      </c>
      <c r="C102" s="2">
        <v>54.7</v>
      </c>
      <c r="D102" s="96">
        <v>193.3</v>
      </c>
      <c r="E102" s="2"/>
      <c r="F102" s="2"/>
      <c r="G102" s="2"/>
      <c r="H102" s="2"/>
      <c r="I102" s="2"/>
      <c r="J102" s="2"/>
      <c r="K102" s="2"/>
      <c r="L102" s="2"/>
      <c r="M102" s="2"/>
      <c r="N102" s="2"/>
      <c r="O102" s="2"/>
      <c r="P102" s="89"/>
    </row>
    <row r="103" spans="1:16" x14ac:dyDescent="0.25">
      <c r="A103" s="107" t="s">
        <v>126</v>
      </c>
      <c r="B103" s="103">
        <v>67.599999999999994</v>
      </c>
      <c r="C103" s="2">
        <v>37.200000000000003</v>
      </c>
      <c r="D103" s="96">
        <v>146.6</v>
      </c>
      <c r="E103" s="2"/>
      <c r="F103" s="104"/>
      <c r="G103" s="2"/>
      <c r="H103" s="2"/>
      <c r="I103" s="2"/>
      <c r="J103" s="2"/>
      <c r="K103" s="2"/>
      <c r="L103" s="2"/>
      <c r="M103" s="2"/>
      <c r="N103" s="2"/>
      <c r="O103" s="2"/>
      <c r="P103" s="89"/>
    </row>
    <row r="104" spans="1:16" x14ac:dyDescent="0.25">
      <c r="A104" s="107" t="s">
        <v>127</v>
      </c>
      <c r="B104" s="103">
        <v>54.4</v>
      </c>
      <c r="C104" s="2">
        <v>32.4</v>
      </c>
      <c r="D104" s="2">
        <v>141.19999999999999</v>
      </c>
      <c r="E104" s="2"/>
      <c r="F104" s="2"/>
      <c r="G104" s="2"/>
      <c r="H104" s="2"/>
      <c r="I104" s="2"/>
      <c r="J104" s="2"/>
      <c r="K104" s="2"/>
      <c r="L104" s="2"/>
      <c r="M104" s="2"/>
      <c r="N104" s="2"/>
      <c r="O104" s="2"/>
      <c r="P104" s="89"/>
    </row>
    <row r="105" spans="1:16" x14ac:dyDescent="0.25">
      <c r="A105" s="107" t="s">
        <v>128</v>
      </c>
      <c r="B105" s="103"/>
      <c r="C105" s="2">
        <v>61.7</v>
      </c>
      <c r="D105" s="2">
        <v>203.4</v>
      </c>
      <c r="E105" s="2"/>
      <c r="F105" s="104"/>
      <c r="G105" s="2"/>
      <c r="H105" s="2"/>
      <c r="I105" s="2"/>
      <c r="J105" s="2"/>
      <c r="K105" s="2"/>
      <c r="L105" s="2"/>
      <c r="M105" s="2"/>
      <c r="N105" s="2"/>
      <c r="O105" s="2"/>
      <c r="P105" s="89"/>
    </row>
    <row r="106" spans="1:16" x14ac:dyDescent="0.25">
      <c r="A106" s="107" t="s">
        <v>129</v>
      </c>
      <c r="B106" s="103"/>
      <c r="C106" s="2">
        <v>52.5</v>
      </c>
      <c r="D106" s="2">
        <v>192</v>
      </c>
      <c r="E106" s="2"/>
      <c r="F106" s="2"/>
      <c r="G106" s="2"/>
      <c r="H106" s="2"/>
      <c r="I106" s="2"/>
      <c r="J106" s="2"/>
      <c r="K106" s="2"/>
      <c r="L106" s="2"/>
      <c r="M106" s="2"/>
      <c r="N106" s="2"/>
      <c r="O106" s="2"/>
      <c r="P106" s="89"/>
    </row>
    <row r="107" spans="1:16" x14ac:dyDescent="0.25">
      <c r="A107" s="107" t="s">
        <v>130</v>
      </c>
      <c r="B107" s="103"/>
      <c r="C107" s="2">
        <v>51</v>
      </c>
      <c r="D107" s="2">
        <v>185.7</v>
      </c>
      <c r="E107" s="2"/>
      <c r="F107" s="104">
        <v>85.7</v>
      </c>
      <c r="G107" s="2"/>
      <c r="H107" s="2"/>
      <c r="I107" s="2"/>
      <c r="J107" s="2"/>
      <c r="K107" s="2"/>
      <c r="L107" s="2"/>
      <c r="M107" s="2"/>
      <c r="N107" s="2"/>
      <c r="O107" s="2"/>
      <c r="P107" s="89"/>
    </row>
    <row r="108" spans="1:16" x14ac:dyDescent="0.25">
      <c r="A108" s="107" t="s">
        <v>131</v>
      </c>
      <c r="B108" s="103"/>
      <c r="C108" s="2">
        <v>48.3</v>
      </c>
      <c r="D108" s="2">
        <v>171.4</v>
      </c>
      <c r="E108" s="2"/>
      <c r="F108" s="104"/>
      <c r="G108" s="2"/>
      <c r="H108" s="2"/>
      <c r="I108" s="2"/>
      <c r="J108" s="2"/>
      <c r="K108" s="2"/>
      <c r="L108" s="2"/>
      <c r="M108" s="2"/>
      <c r="N108" s="2"/>
      <c r="O108" s="2"/>
      <c r="P108" s="89"/>
    </row>
    <row r="109" spans="1:16" x14ac:dyDescent="0.25">
      <c r="A109" s="107" t="s">
        <v>132</v>
      </c>
      <c r="B109" s="103">
        <v>52.4</v>
      </c>
      <c r="C109" s="2">
        <v>51</v>
      </c>
      <c r="D109" s="2">
        <v>171.8</v>
      </c>
      <c r="E109" s="2">
        <v>63.7</v>
      </c>
      <c r="F109" s="104">
        <v>81.2</v>
      </c>
      <c r="G109" s="2"/>
      <c r="H109" s="2"/>
      <c r="I109" s="2"/>
      <c r="J109" s="2"/>
      <c r="K109" s="2"/>
      <c r="L109" s="2"/>
      <c r="M109" s="2"/>
      <c r="N109" s="2"/>
      <c r="O109" s="2"/>
      <c r="P109" s="89"/>
    </row>
    <row r="110" spans="1:16" x14ac:dyDescent="0.25">
      <c r="A110" s="107" t="s">
        <v>133</v>
      </c>
      <c r="B110" s="103"/>
      <c r="C110" s="2">
        <v>58.2</v>
      </c>
      <c r="D110" s="2">
        <v>198.7</v>
      </c>
      <c r="E110" s="2"/>
      <c r="F110" s="104"/>
      <c r="G110" s="2"/>
      <c r="H110" s="2"/>
      <c r="I110" s="2"/>
      <c r="J110" s="2"/>
      <c r="K110" s="2"/>
      <c r="L110" s="2"/>
      <c r="M110" s="2"/>
      <c r="N110" s="2"/>
      <c r="O110" s="2"/>
      <c r="P110" s="89"/>
    </row>
    <row r="111" spans="1:16" x14ac:dyDescent="0.25">
      <c r="A111" s="107" t="s">
        <v>134</v>
      </c>
      <c r="B111" s="103"/>
      <c r="C111" s="2">
        <v>55.4</v>
      </c>
      <c r="D111" s="2">
        <v>199.5</v>
      </c>
      <c r="E111" s="2"/>
      <c r="F111" s="104"/>
      <c r="G111" s="2"/>
      <c r="H111" s="2"/>
      <c r="I111" s="2"/>
      <c r="J111" s="2"/>
      <c r="K111" s="2"/>
      <c r="L111" s="2"/>
      <c r="M111" s="2"/>
      <c r="N111" s="2"/>
      <c r="O111" s="2"/>
      <c r="P111" s="89"/>
    </row>
    <row r="112" spans="1:16" x14ac:dyDescent="0.25">
      <c r="A112" s="107" t="s">
        <v>135</v>
      </c>
      <c r="B112" s="103"/>
      <c r="C112" s="2">
        <v>60.1</v>
      </c>
      <c r="D112" s="2">
        <v>206.8</v>
      </c>
      <c r="E112" s="2"/>
      <c r="F112" s="104"/>
      <c r="G112" s="2"/>
      <c r="H112" s="2"/>
      <c r="I112" s="2"/>
      <c r="J112" s="2"/>
      <c r="K112" s="2"/>
      <c r="L112" s="2"/>
      <c r="M112" s="2"/>
      <c r="N112" s="2"/>
      <c r="O112" s="2"/>
      <c r="P112" s="89"/>
    </row>
    <row r="113" spans="1:16" x14ac:dyDescent="0.25">
      <c r="A113" s="107" t="s">
        <v>136</v>
      </c>
      <c r="B113" s="103"/>
      <c r="C113" s="2">
        <v>57.1</v>
      </c>
      <c r="D113" s="2">
        <v>193.5</v>
      </c>
      <c r="E113" s="2"/>
      <c r="F113" s="2"/>
      <c r="G113" s="2"/>
      <c r="H113" s="2"/>
      <c r="I113" s="2"/>
      <c r="J113" s="2"/>
      <c r="K113" s="2"/>
      <c r="L113" s="2"/>
      <c r="M113" s="2"/>
      <c r="N113" s="2"/>
      <c r="O113" s="2"/>
      <c r="P113" s="89"/>
    </row>
    <row r="114" spans="1:16" x14ac:dyDescent="0.25">
      <c r="A114" s="107" t="s">
        <v>137</v>
      </c>
      <c r="B114" s="103">
        <v>68.400000000000006</v>
      </c>
      <c r="C114" s="2">
        <v>40</v>
      </c>
      <c r="D114" s="2">
        <v>161.30000000000001</v>
      </c>
      <c r="E114" s="2">
        <v>83.6</v>
      </c>
      <c r="F114" s="2"/>
      <c r="G114" s="2"/>
      <c r="H114" s="2"/>
      <c r="I114" s="2"/>
      <c r="J114" s="2"/>
      <c r="K114" s="2"/>
      <c r="L114" s="2"/>
      <c r="M114" s="2"/>
      <c r="N114" s="2"/>
      <c r="O114" s="2"/>
      <c r="P114" s="89"/>
    </row>
    <row r="115" spans="1:16" x14ac:dyDescent="0.25">
      <c r="A115" s="107" t="s">
        <v>138</v>
      </c>
      <c r="B115" s="103"/>
      <c r="C115" s="97"/>
      <c r="D115" s="96"/>
      <c r="E115" s="2"/>
      <c r="F115" s="2">
        <v>73.8</v>
      </c>
      <c r="G115" s="2"/>
      <c r="H115" s="2"/>
      <c r="I115" s="2"/>
      <c r="J115" s="2"/>
      <c r="K115" s="2"/>
      <c r="L115" s="2"/>
      <c r="M115" s="2"/>
      <c r="N115" s="2"/>
      <c r="O115" s="2"/>
      <c r="P115" s="89"/>
    </row>
    <row r="116" spans="1:16" x14ac:dyDescent="0.25">
      <c r="A116" s="107" t="s">
        <v>139</v>
      </c>
      <c r="B116" s="103"/>
      <c r="C116" s="2">
        <v>54.5</v>
      </c>
      <c r="D116" s="96">
        <v>184.9</v>
      </c>
      <c r="E116" s="2"/>
      <c r="F116" s="2">
        <v>83.5</v>
      </c>
      <c r="G116" s="2"/>
      <c r="H116" s="2"/>
      <c r="I116" s="2"/>
      <c r="J116" s="2"/>
      <c r="K116" s="2"/>
      <c r="L116" s="2"/>
      <c r="M116" s="2"/>
      <c r="N116" s="2"/>
      <c r="O116" s="2"/>
      <c r="P116" s="89"/>
    </row>
    <row r="117" spans="1:16" x14ac:dyDescent="0.25">
      <c r="A117" s="107" t="s">
        <v>140</v>
      </c>
      <c r="B117" s="103">
        <v>57.3</v>
      </c>
      <c r="C117" s="2">
        <v>35.200000000000003</v>
      </c>
      <c r="D117" s="2">
        <v>130.9</v>
      </c>
      <c r="E117" s="2"/>
      <c r="F117" s="2">
        <v>83.8</v>
      </c>
      <c r="G117" s="2"/>
      <c r="H117" s="2"/>
      <c r="I117" s="2"/>
      <c r="J117" s="2"/>
      <c r="K117" s="2"/>
      <c r="L117" s="2"/>
      <c r="M117" s="2"/>
      <c r="N117" s="2"/>
      <c r="O117" s="2"/>
      <c r="P117" s="89"/>
    </row>
    <row r="118" spans="1:16" x14ac:dyDescent="0.25">
      <c r="A118" s="107" t="s">
        <v>141</v>
      </c>
      <c r="B118" s="103"/>
      <c r="C118" s="2">
        <v>49.1</v>
      </c>
      <c r="D118" s="2">
        <v>158.30000000000001</v>
      </c>
      <c r="E118" s="2"/>
      <c r="F118" s="2"/>
      <c r="G118" s="2"/>
      <c r="H118" s="2"/>
      <c r="I118" s="2"/>
      <c r="J118" s="2"/>
      <c r="K118" s="2"/>
      <c r="L118" s="2"/>
      <c r="M118" s="2"/>
      <c r="N118" s="2"/>
      <c r="O118" s="2"/>
      <c r="P118" s="89"/>
    </row>
    <row r="119" spans="1:16" x14ac:dyDescent="0.25">
      <c r="A119" s="107" t="s">
        <v>142</v>
      </c>
      <c r="B119" s="103">
        <v>72.2</v>
      </c>
      <c r="C119" s="97"/>
      <c r="D119" s="2">
        <v>191.9</v>
      </c>
      <c r="E119" s="2"/>
      <c r="F119" s="2"/>
      <c r="G119" s="2"/>
      <c r="H119" s="2"/>
      <c r="I119" s="2"/>
      <c r="J119" s="2"/>
      <c r="K119" s="2"/>
      <c r="L119" s="2"/>
      <c r="M119" s="2"/>
      <c r="N119" s="2"/>
      <c r="O119" s="2"/>
      <c r="P119" s="89"/>
    </row>
    <row r="120" spans="1:16" x14ac:dyDescent="0.25">
      <c r="A120" s="107" t="s">
        <v>143</v>
      </c>
      <c r="B120" s="103">
        <v>53.8</v>
      </c>
      <c r="C120" s="97">
        <v>49.5</v>
      </c>
      <c r="D120" s="96">
        <v>177.9</v>
      </c>
      <c r="E120" s="2">
        <v>82.1</v>
      </c>
      <c r="F120" s="2">
        <v>58.5</v>
      </c>
      <c r="G120" s="2"/>
      <c r="H120" s="2"/>
      <c r="I120" s="2"/>
      <c r="J120" s="2"/>
      <c r="K120" s="2"/>
      <c r="L120" s="2"/>
      <c r="M120" s="2"/>
      <c r="N120" s="2"/>
      <c r="O120" s="2"/>
      <c r="P120" s="89"/>
    </row>
    <row r="121" spans="1:16" x14ac:dyDescent="0.25">
      <c r="A121" s="107" t="s">
        <v>171</v>
      </c>
      <c r="B121" s="103"/>
      <c r="C121" s="97"/>
      <c r="D121" s="96"/>
      <c r="E121" s="2"/>
      <c r="F121" s="2"/>
      <c r="G121" s="2"/>
      <c r="H121" s="2"/>
      <c r="I121" s="2"/>
      <c r="J121" s="2"/>
      <c r="K121" s="2"/>
      <c r="L121" s="2"/>
      <c r="M121" s="2"/>
      <c r="N121" s="2"/>
      <c r="O121" s="2"/>
      <c r="P121" s="89"/>
    </row>
    <row r="122" spans="1:16" x14ac:dyDescent="0.25">
      <c r="A122" s="107" t="s">
        <v>144</v>
      </c>
      <c r="B122" s="103">
        <v>63.7</v>
      </c>
      <c r="C122" s="2">
        <v>35.5</v>
      </c>
      <c r="D122" s="96"/>
      <c r="E122" s="2"/>
      <c r="F122" s="2"/>
      <c r="G122" s="2"/>
      <c r="H122" s="2"/>
      <c r="I122" s="2"/>
      <c r="J122" s="2"/>
      <c r="K122" s="2"/>
      <c r="L122" s="2"/>
      <c r="M122" s="2"/>
      <c r="N122" s="2"/>
      <c r="O122" s="2"/>
      <c r="P122" s="89"/>
    </row>
    <row r="123" spans="1:16" x14ac:dyDescent="0.25">
      <c r="A123" s="107" t="s">
        <v>145</v>
      </c>
      <c r="B123" s="103">
        <v>61.6</v>
      </c>
      <c r="C123" s="2">
        <v>54.5</v>
      </c>
      <c r="D123" s="2">
        <v>197.6</v>
      </c>
      <c r="E123" s="2"/>
      <c r="F123" s="2"/>
      <c r="G123" s="2"/>
      <c r="H123" s="2"/>
      <c r="I123" s="2"/>
      <c r="J123" s="2"/>
      <c r="K123" s="2"/>
      <c r="L123" s="2"/>
      <c r="M123" s="2"/>
      <c r="N123" s="2"/>
      <c r="O123" s="2"/>
      <c r="P123" s="89"/>
    </row>
    <row r="124" spans="1:16" x14ac:dyDescent="0.25">
      <c r="A124" s="107" t="s">
        <v>146</v>
      </c>
      <c r="B124" s="103">
        <v>59.3</v>
      </c>
      <c r="C124" s="2">
        <v>55.3</v>
      </c>
      <c r="D124" s="2">
        <v>190.8</v>
      </c>
      <c r="E124" s="2"/>
      <c r="F124" s="2">
        <v>88.5</v>
      </c>
      <c r="G124" s="2"/>
      <c r="H124" s="2"/>
      <c r="I124" s="2"/>
      <c r="J124" s="2"/>
      <c r="K124" s="2"/>
      <c r="L124" s="2"/>
      <c r="M124" s="2"/>
      <c r="N124" s="2"/>
      <c r="O124" s="2"/>
      <c r="P124" s="89"/>
    </row>
    <row r="125" spans="1:16" x14ac:dyDescent="0.25">
      <c r="A125" s="107" t="s">
        <v>147</v>
      </c>
      <c r="B125" s="103"/>
      <c r="C125" s="2">
        <v>56.8</v>
      </c>
      <c r="D125" s="2">
        <v>201.1</v>
      </c>
      <c r="E125" s="2"/>
      <c r="F125" s="2">
        <v>100</v>
      </c>
      <c r="G125" s="2"/>
      <c r="H125" s="2"/>
      <c r="I125" s="2"/>
      <c r="J125" s="2"/>
      <c r="K125" s="2"/>
      <c r="L125" s="2"/>
      <c r="M125" s="2"/>
      <c r="N125" s="2"/>
      <c r="O125" s="2"/>
      <c r="P125" s="89"/>
    </row>
    <row r="126" spans="1:16" x14ac:dyDescent="0.25">
      <c r="A126" s="107" t="s">
        <v>148</v>
      </c>
      <c r="B126" s="103"/>
      <c r="C126" s="2">
        <v>58.2</v>
      </c>
      <c r="D126" s="2">
        <v>198.8</v>
      </c>
      <c r="E126" s="2"/>
      <c r="F126" s="2">
        <v>72.7</v>
      </c>
      <c r="G126" s="2"/>
      <c r="H126" s="2"/>
      <c r="I126" s="2"/>
      <c r="J126" s="2"/>
      <c r="K126" s="2"/>
      <c r="L126" s="2"/>
      <c r="M126" s="2"/>
      <c r="N126" s="2"/>
      <c r="O126" s="2"/>
      <c r="P126" s="89"/>
    </row>
    <row r="127" spans="1:16" x14ac:dyDescent="0.25">
      <c r="A127" s="107" t="s">
        <v>149</v>
      </c>
      <c r="B127" s="103"/>
      <c r="C127" s="2">
        <v>30.9</v>
      </c>
      <c r="D127" s="2">
        <v>122.7</v>
      </c>
      <c r="E127" s="2"/>
      <c r="F127" s="104">
        <v>69.2</v>
      </c>
      <c r="G127" s="2"/>
      <c r="H127" s="2"/>
      <c r="I127" s="2"/>
      <c r="J127" s="2">
        <v>1370</v>
      </c>
      <c r="K127" s="2"/>
      <c r="L127" s="2"/>
      <c r="M127" s="2"/>
      <c r="N127" s="2"/>
      <c r="O127" s="2"/>
      <c r="P127" s="89"/>
    </row>
    <row r="128" spans="1:16" x14ac:dyDescent="0.25">
      <c r="A128" s="107" t="s">
        <v>150</v>
      </c>
      <c r="B128" s="103"/>
      <c r="C128" s="2">
        <v>57.9</v>
      </c>
      <c r="D128" s="2">
        <v>191.5</v>
      </c>
      <c r="E128" s="2"/>
      <c r="F128" s="104">
        <v>80.7</v>
      </c>
      <c r="G128" s="2"/>
      <c r="H128" s="2"/>
      <c r="I128" s="2"/>
      <c r="J128" s="2"/>
      <c r="K128" s="2"/>
      <c r="L128" s="2"/>
      <c r="M128" s="2"/>
      <c r="N128" s="2"/>
      <c r="O128" s="2"/>
      <c r="P128" s="89"/>
    </row>
    <row r="129" spans="1:16" x14ac:dyDescent="0.25">
      <c r="A129" s="107" t="s">
        <v>151</v>
      </c>
      <c r="B129" s="103">
        <v>45.2</v>
      </c>
      <c r="C129" s="97"/>
      <c r="D129" s="2">
        <v>117.8</v>
      </c>
      <c r="E129" s="2"/>
      <c r="F129" s="104">
        <v>60.4</v>
      </c>
      <c r="G129" s="2"/>
      <c r="H129" s="2"/>
      <c r="I129" s="2"/>
      <c r="J129" s="2"/>
      <c r="K129" s="2"/>
      <c r="L129" s="2"/>
      <c r="M129" s="2"/>
      <c r="N129" s="2"/>
      <c r="O129" s="2"/>
      <c r="P129" s="89"/>
    </row>
    <row r="130" spans="1:16" x14ac:dyDescent="0.25">
      <c r="A130" s="107" t="s">
        <v>152</v>
      </c>
      <c r="B130" s="103"/>
      <c r="C130" s="2">
        <v>55.7</v>
      </c>
      <c r="D130" s="2">
        <v>185.9</v>
      </c>
      <c r="E130" s="2"/>
      <c r="F130" s="104">
        <v>105.4</v>
      </c>
      <c r="G130" s="2"/>
      <c r="H130" s="2"/>
      <c r="I130" s="2"/>
      <c r="J130" s="2"/>
      <c r="K130" s="2"/>
      <c r="L130" s="2"/>
      <c r="M130" s="2"/>
      <c r="N130" s="2"/>
      <c r="O130" s="2"/>
      <c r="P130" s="89"/>
    </row>
    <row r="131" spans="1:16" x14ac:dyDescent="0.25">
      <c r="A131" s="107" t="s">
        <v>153</v>
      </c>
      <c r="B131" s="103"/>
      <c r="C131" s="97"/>
      <c r="D131" s="2">
        <v>115</v>
      </c>
      <c r="E131" s="2"/>
      <c r="F131" s="104">
        <v>73.8</v>
      </c>
      <c r="G131" s="2"/>
      <c r="H131" s="2"/>
      <c r="I131" s="2"/>
      <c r="J131" s="2"/>
      <c r="K131" s="2"/>
      <c r="L131" s="2"/>
      <c r="M131" s="2"/>
      <c r="N131" s="2"/>
      <c r="O131" s="2"/>
      <c r="P131" s="89"/>
    </row>
    <row r="132" spans="1:16" x14ac:dyDescent="0.25">
      <c r="A132" s="107" t="s">
        <v>154</v>
      </c>
      <c r="B132" s="103"/>
      <c r="C132" s="2">
        <v>52.4</v>
      </c>
      <c r="D132" s="2">
        <v>171.9</v>
      </c>
      <c r="E132" s="2"/>
      <c r="F132" s="104">
        <v>82.5</v>
      </c>
      <c r="G132" s="2"/>
      <c r="H132" s="2"/>
      <c r="I132" s="2"/>
      <c r="J132" s="2"/>
      <c r="K132" s="2"/>
      <c r="L132" s="2"/>
      <c r="M132" s="2"/>
      <c r="N132" s="2"/>
      <c r="O132" s="2"/>
      <c r="P132" s="89"/>
    </row>
    <row r="133" spans="1:16" x14ac:dyDescent="0.25">
      <c r="A133" s="107" t="s">
        <v>155</v>
      </c>
      <c r="B133" s="103"/>
      <c r="C133" s="2">
        <v>58</v>
      </c>
      <c r="D133" s="2">
        <v>201.4</v>
      </c>
      <c r="E133" s="2"/>
      <c r="F133" s="104">
        <v>95</v>
      </c>
      <c r="G133" s="2"/>
      <c r="H133" s="2"/>
      <c r="I133" s="2"/>
      <c r="J133" s="2"/>
      <c r="K133" s="2"/>
      <c r="L133" s="2"/>
      <c r="M133" s="2"/>
      <c r="N133" s="2"/>
      <c r="O133" s="2"/>
      <c r="P133" s="89"/>
    </row>
    <row r="134" spans="1:16" x14ac:dyDescent="0.25">
      <c r="A134" s="107" t="s">
        <v>156</v>
      </c>
      <c r="B134" s="103">
        <v>62.5</v>
      </c>
      <c r="C134" s="2">
        <v>47.3</v>
      </c>
      <c r="D134" s="2">
        <v>179.9</v>
      </c>
      <c r="E134" s="2"/>
      <c r="F134" s="2"/>
      <c r="G134" s="2"/>
      <c r="H134" s="2"/>
      <c r="I134" s="2"/>
      <c r="J134" s="2">
        <v>1690</v>
      </c>
      <c r="K134" s="2"/>
      <c r="L134" s="2"/>
      <c r="M134" s="2"/>
      <c r="N134" s="2"/>
      <c r="O134" s="2"/>
      <c r="P134" s="89"/>
    </row>
    <row r="135" spans="1:16" x14ac:dyDescent="0.25">
      <c r="A135" s="107" t="s">
        <v>157</v>
      </c>
      <c r="B135" s="103">
        <v>60.3</v>
      </c>
      <c r="C135" s="2">
        <v>49.6</v>
      </c>
      <c r="D135" s="2">
        <v>181.8</v>
      </c>
      <c r="E135" s="2"/>
      <c r="F135" s="104">
        <v>88.8</v>
      </c>
      <c r="G135" s="2"/>
      <c r="H135" s="2"/>
      <c r="I135" s="2"/>
      <c r="J135" s="2"/>
      <c r="K135" s="2"/>
      <c r="L135" s="2"/>
      <c r="M135" s="2"/>
      <c r="N135" s="2"/>
      <c r="O135" s="2"/>
      <c r="P135" s="89"/>
    </row>
    <row r="136" spans="1:16" x14ac:dyDescent="0.25">
      <c r="A136" s="107" t="s">
        <v>158</v>
      </c>
      <c r="B136" s="103">
        <v>51.7</v>
      </c>
      <c r="C136" s="2">
        <v>47.8</v>
      </c>
      <c r="D136" s="2">
        <v>160.6</v>
      </c>
      <c r="E136" s="2"/>
      <c r="F136" s="104">
        <v>72.3</v>
      </c>
      <c r="G136" s="2"/>
      <c r="H136" s="2"/>
      <c r="I136" s="2"/>
      <c r="J136" s="2"/>
      <c r="K136" s="2"/>
      <c r="L136" s="2"/>
      <c r="M136" s="2"/>
      <c r="N136" s="2"/>
      <c r="O136" s="2"/>
      <c r="P136" s="89"/>
    </row>
    <row r="137" spans="1:16" x14ac:dyDescent="0.25">
      <c r="A137" s="107" t="s">
        <v>159</v>
      </c>
      <c r="B137" s="103">
        <v>60.8</v>
      </c>
      <c r="C137" s="2">
        <v>45.6</v>
      </c>
      <c r="D137" s="2">
        <v>175.9</v>
      </c>
      <c r="E137" s="2"/>
      <c r="F137" s="2"/>
      <c r="G137" s="2"/>
      <c r="H137" s="2"/>
      <c r="I137" s="2"/>
      <c r="J137" s="2"/>
      <c r="K137" s="2"/>
      <c r="L137" s="2"/>
      <c r="M137" s="2"/>
      <c r="N137" s="2"/>
      <c r="O137" s="2"/>
      <c r="P137" s="89"/>
    </row>
    <row r="138" spans="1:16" x14ac:dyDescent="0.25">
      <c r="A138" s="107" t="s">
        <v>160</v>
      </c>
      <c r="B138" s="103"/>
      <c r="C138" s="97"/>
      <c r="D138" s="2">
        <v>188.5</v>
      </c>
      <c r="E138" s="2">
        <v>79.8</v>
      </c>
      <c r="F138" s="104">
        <v>86.8</v>
      </c>
      <c r="G138" s="2"/>
      <c r="H138" s="2"/>
      <c r="I138" s="2"/>
      <c r="J138" s="2"/>
      <c r="K138" s="2"/>
      <c r="L138" s="2"/>
      <c r="M138" s="2"/>
      <c r="N138" s="2"/>
      <c r="O138" s="2"/>
      <c r="P138" s="89"/>
    </row>
    <row r="139" spans="1:16" x14ac:dyDescent="0.25">
      <c r="A139" s="107" t="s">
        <v>161</v>
      </c>
      <c r="B139" s="103"/>
      <c r="C139" s="97"/>
      <c r="D139" s="2">
        <v>136.19999999999999</v>
      </c>
      <c r="E139" s="2"/>
      <c r="F139" s="104">
        <v>46.3</v>
      </c>
      <c r="G139" s="2"/>
      <c r="H139" s="2"/>
      <c r="I139" s="2"/>
      <c r="J139" s="2"/>
      <c r="K139" s="2"/>
      <c r="L139" s="2"/>
      <c r="M139" s="2"/>
      <c r="N139" s="2"/>
      <c r="O139" s="2"/>
      <c r="P139" s="89"/>
    </row>
    <row r="140" spans="1:16" x14ac:dyDescent="0.25">
      <c r="A140" s="107" t="s">
        <v>162</v>
      </c>
      <c r="B140" s="103"/>
      <c r="C140" s="2">
        <v>60.1</v>
      </c>
      <c r="D140" s="2">
        <v>199.2</v>
      </c>
      <c r="E140" s="2"/>
      <c r="F140" s="104">
        <v>118.1</v>
      </c>
      <c r="G140" s="2"/>
      <c r="H140" s="2"/>
      <c r="I140" s="2"/>
      <c r="J140" s="2"/>
      <c r="K140" s="2"/>
      <c r="L140" s="2"/>
      <c r="M140" s="2"/>
      <c r="N140" s="2"/>
      <c r="O140" s="2"/>
      <c r="P140" s="89"/>
    </row>
    <row r="141" spans="1:16" x14ac:dyDescent="0.25">
      <c r="A141" s="107" t="s">
        <v>163</v>
      </c>
      <c r="B141" s="103"/>
      <c r="C141" s="2">
        <v>53.6</v>
      </c>
      <c r="D141" s="2">
        <v>192.6</v>
      </c>
      <c r="E141" s="2"/>
      <c r="F141" s="104">
        <v>80.5</v>
      </c>
      <c r="G141" s="2"/>
      <c r="H141" s="2"/>
      <c r="I141" s="2"/>
      <c r="J141" s="2"/>
      <c r="K141" s="2"/>
      <c r="L141" s="2"/>
      <c r="M141" s="2"/>
      <c r="N141" s="2"/>
      <c r="O141" s="2"/>
      <c r="P141" s="89"/>
    </row>
    <row r="142" spans="1:16" x14ac:dyDescent="0.25">
      <c r="A142" s="107" t="s">
        <v>164</v>
      </c>
      <c r="B142" s="103"/>
      <c r="C142" s="2">
        <v>59</v>
      </c>
      <c r="D142" s="2">
        <v>206.1</v>
      </c>
      <c r="E142" s="2"/>
      <c r="F142" s="2"/>
      <c r="G142" s="2"/>
      <c r="H142" s="2"/>
      <c r="I142" s="2"/>
      <c r="J142" s="2"/>
      <c r="K142" s="2"/>
      <c r="L142" s="2"/>
      <c r="M142" s="2"/>
      <c r="N142" s="2"/>
      <c r="O142" s="2"/>
      <c r="P142" s="89"/>
    </row>
    <row r="143" spans="1:16" x14ac:dyDescent="0.25">
      <c r="A143" s="107" t="s">
        <v>165</v>
      </c>
      <c r="B143" s="103">
        <v>53</v>
      </c>
      <c r="C143" s="2">
        <v>43.9</v>
      </c>
      <c r="D143" s="96">
        <v>172.6</v>
      </c>
      <c r="E143" s="2"/>
      <c r="F143" s="104">
        <v>58.4</v>
      </c>
      <c r="G143" s="2"/>
      <c r="H143" s="2"/>
      <c r="I143" s="2"/>
      <c r="J143" s="2">
        <v>2300</v>
      </c>
      <c r="K143" s="2"/>
      <c r="L143" s="2"/>
      <c r="M143" s="2"/>
      <c r="N143" s="2"/>
      <c r="O143" s="2"/>
      <c r="P143" s="89"/>
    </row>
    <row r="144" spans="1:16" x14ac:dyDescent="0.25">
      <c r="A144" s="107" t="s">
        <v>166</v>
      </c>
      <c r="B144" s="103">
        <v>64.400000000000006</v>
      </c>
      <c r="C144" s="2">
        <v>35.6</v>
      </c>
      <c r="D144" s="96">
        <v>160.69999999999999</v>
      </c>
      <c r="E144" s="2"/>
      <c r="F144" s="2">
        <v>80.3</v>
      </c>
      <c r="G144" s="2"/>
      <c r="H144" s="2"/>
      <c r="I144" s="2"/>
      <c r="J144" s="2"/>
      <c r="K144" s="2"/>
      <c r="L144" s="2"/>
      <c r="M144" s="2"/>
      <c r="N144" s="2"/>
      <c r="O144" s="2"/>
      <c r="P144" s="89"/>
    </row>
    <row r="145" spans="1:16" x14ac:dyDescent="0.25">
      <c r="A145" s="107" t="s">
        <v>167</v>
      </c>
      <c r="B145" s="103">
        <v>63.3</v>
      </c>
      <c r="C145" s="2">
        <v>40.200000000000003</v>
      </c>
      <c r="D145" s="2">
        <v>168.4</v>
      </c>
      <c r="E145" s="2"/>
      <c r="F145" s="2"/>
      <c r="G145" s="2"/>
      <c r="H145" s="2"/>
      <c r="I145" s="2"/>
      <c r="J145" s="2"/>
      <c r="K145" s="2"/>
      <c r="L145" s="2"/>
      <c r="M145" s="2"/>
      <c r="N145" s="2"/>
      <c r="O145" s="2"/>
      <c r="P145" s="89"/>
    </row>
    <row r="146" spans="1:16" x14ac:dyDescent="0.25">
      <c r="A146" s="107" t="s">
        <v>168</v>
      </c>
      <c r="B146" s="103"/>
      <c r="C146" s="2">
        <v>55.9</v>
      </c>
      <c r="D146" s="2">
        <v>186.5</v>
      </c>
      <c r="E146" s="2"/>
      <c r="F146" s="104">
        <v>67.599999999999994</v>
      </c>
      <c r="G146" s="2"/>
      <c r="H146" s="2"/>
      <c r="I146" s="2"/>
      <c r="J146" s="2"/>
      <c r="K146" s="2"/>
      <c r="L146" s="2"/>
      <c r="M146" s="2"/>
      <c r="N146" s="2"/>
      <c r="O146" s="2"/>
      <c r="P146" s="89"/>
    </row>
    <row r="147" spans="1:16" x14ac:dyDescent="0.25">
      <c r="A147" s="107" t="s">
        <v>169</v>
      </c>
      <c r="B147" s="103">
        <v>57.5</v>
      </c>
      <c r="C147" s="2">
        <v>55.6</v>
      </c>
      <c r="D147" s="2">
        <v>183.5</v>
      </c>
      <c r="E147" s="2"/>
      <c r="F147" s="2"/>
      <c r="G147" s="2"/>
      <c r="H147" s="2"/>
      <c r="I147" s="2"/>
      <c r="J147" s="2"/>
      <c r="K147" s="2"/>
      <c r="L147" s="2"/>
      <c r="M147" s="2"/>
      <c r="N147" s="2"/>
      <c r="O147" s="2"/>
      <c r="P147" s="89"/>
    </row>
    <row r="148" spans="1:16" ht="15.75" thickBot="1" x14ac:dyDescent="0.3">
      <c r="A148" s="108" t="s">
        <v>170</v>
      </c>
      <c r="B148" s="105">
        <v>65.099999999999994</v>
      </c>
      <c r="C148" s="92">
        <v>53.1</v>
      </c>
      <c r="D148" s="92">
        <v>187.3</v>
      </c>
      <c r="E148" s="92"/>
      <c r="F148" s="92">
        <v>81.3</v>
      </c>
      <c r="G148" s="92"/>
      <c r="H148" s="92"/>
      <c r="I148" s="92"/>
      <c r="J148" s="92"/>
      <c r="K148" s="92"/>
      <c r="L148" s="92"/>
      <c r="M148" s="92"/>
      <c r="N148" s="92"/>
      <c r="O148" s="92"/>
      <c r="P148" s="90"/>
    </row>
    <row r="149" spans="1:16" x14ac:dyDescent="0.25">
      <c r="A149" s="124" t="s">
        <v>212</v>
      </c>
    </row>
    <row r="150" spans="1:16" x14ac:dyDescent="0.25">
      <c r="A150" s="124" t="s">
        <v>213</v>
      </c>
    </row>
  </sheetData>
  <sheetProtection algorithmName="SHA-512" hashValue="JrcoQcVZMa+2Yma0zH6n8GUAFD8vQV0i4bRKiB6s9PporRLGNjnuuWPaRdl7XNXHZnMRubZ9+/gRuYhrfSY0pg==" saltValue="PsiWFHOSz6R6mDtyTNIcnA==" spinCount="100000"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H261"/>
  <sheetViews>
    <sheetView showGridLines="0" zoomScale="84" zoomScaleNormal="84" workbookViewId="0">
      <pane xSplit="1" ySplit="3" topLeftCell="BD224" activePane="bottomRight" state="frozen"/>
      <selection pane="topRight" activeCell="B1" sqref="B1"/>
      <selection pane="bottomLeft" activeCell="A6" sqref="A6"/>
      <selection pane="bottomRight" activeCell="N1" sqref="N1"/>
    </sheetView>
  </sheetViews>
  <sheetFormatPr defaultRowHeight="15" x14ac:dyDescent="0.25"/>
  <cols>
    <col min="1" max="1" width="18.5703125" customWidth="1"/>
    <col min="2" max="71" width="9.42578125" customWidth="1"/>
    <col min="72" max="72" width="10.5703125" customWidth="1"/>
    <col min="73" max="73" width="10" customWidth="1"/>
    <col min="74" max="74" width="10.28515625" customWidth="1"/>
    <col min="75" max="75" width="10.42578125" customWidth="1"/>
    <col min="76" max="76" width="10.85546875" customWidth="1"/>
    <col min="77" max="86" width="9.42578125" customWidth="1"/>
  </cols>
  <sheetData>
    <row r="1" spans="1:86" ht="15.75" thickBot="1" x14ac:dyDescent="0.3">
      <c r="A1" s="192" t="s">
        <v>388</v>
      </c>
      <c r="C1" s="13"/>
      <c r="D1" s="13"/>
      <c r="E1" s="13"/>
      <c r="F1" s="13"/>
      <c r="G1" s="13"/>
      <c r="H1" s="13"/>
      <c r="I1" s="13"/>
      <c r="J1" s="13"/>
      <c r="K1" s="13"/>
      <c r="L1" s="13"/>
    </row>
    <row r="2" spans="1:86" ht="15.75" thickBot="1" x14ac:dyDescent="0.3">
      <c r="A2" s="193"/>
      <c r="B2" s="194" t="s">
        <v>1</v>
      </c>
      <c r="C2" s="174" t="s">
        <v>1</v>
      </c>
      <c r="D2" s="174" t="s">
        <v>1</v>
      </c>
      <c r="E2" s="174" t="s">
        <v>1</v>
      </c>
      <c r="F2" s="174" t="s">
        <v>1</v>
      </c>
      <c r="G2" s="195" t="s">
        <v>2</v>
      </c>
      <c r="H2" s="196" t="s">
        <v>2</v>
      </c>
      <c r="I2" s="196" t="s">
        <v>2</v>
      </c>
      <c r="J2" s="196" t="s">
        <v>2</v>
      </c>
      <c r="K2" s="197" t="s">
        <v>2</v>
      </c>
      <c r="L2" s="199" t="s">
        <v>3</v>
      </c>
      <c r="M2" s="199" t="s">
        <v>3</v>
      </c>
      <c r="N2" s="199" t="s">
        <v>3</v>
      </c>
      <c r="O2" s="199" t="s">
        <v>3</v>
      </c>
      <c r="P2" s="199" t="s">
        <v>3</v>
      </c>
      <c r="Q2" s="198" t="s">
        <v>4</v>
      </c>
      <c r="R2" s="199" t="s">
        <v>4</v>
      </c>
      <c r="S2" s="199" t="s">
        <v>4</v>
      </c>
      <c r="T2" s="199" t="s">
        <v>4</v>
      </c>
      <c r="U2" s="200" t="s">
        <v>4</v>
      </c>
      <c r="V2" s="218" t="s">
        <v>5</v>
      </c>
      <c r="W2" s="218" t="s">
        <v>5</v>
      </c>
      <c r="X2" s="218" t="s">
        <v>5</v>
      </c>
      <c r="Y2" s="218" t="s">
        <v>5</v>
      </c>
      <c r="Z2" s="218" t="s">
        <v>5</v>
      </c>
      <c r="AA2" s="198" t="s">
        <v>6</v>
      </c>
      <c r="AB2" s="199" t="s">
        <v>6</v>
      </c>
      <c r="AC2" s="199" t="s">
        <v>6</v>
      </c>
      <c r="AD2" s="199" t="s">
        <v>6</v>
      </c>
      <c r="AE2" s="199" t="s">
        <v>6</v>
      </c>
      <c r="AF2" s="232" t="s">
        <v>187</v>
      </c>
      <c r="AG2" s="233" t="s">
        <v>187</v>
      </c>
      <c r="AH2" s="233" t="s">
        <v>187</v>
      </c>
      <c r="AI2" s="233" t="s">
        <v>187</v>
      </c>
      <c r="AJ2" s="234" t="s">
        <v>187</v>
      </c>
      <c r="AK2" s="199" t="s">
        <v>7</v>
      </c>
      <c r="AL2" s="199" t="s">
        <v>7</v>
      </c>
      <c r="AM2" s="199" t="s">
        <v>7</v>
      </c>
      <c r="AN2" s="199" t="s">
        <v>7</v>
      </c>
      <c r="AO2" s="199" t="s">
        <v>7</v>
      </c>
      <c r="AP2" s="198" t="s">
        <v>21</v>
      </c>
      <c r="AQ2" s="199" t="s">
        <v>21</v>
      </c>
      <c r="AR2" s="199" t="s">
        <v>21</v>
      </c>
      <c r="AS2" s="199" t="s">
        <v>21</v>
      </c>
      <c r="AT2" s="200" t="s">
        <v>21</v>
      </c>
      <c r="AU2" s="199" t="s">
        <v>10</v>
      </c>
      <c r="AV2" s="199" t="s">
        <v>10</v>
      </c>
      <c r="AW2" s="199" t="s">
        <v>10</v>
      </c>
      <c r="AX2" s="199" t="s">
        <v>10</v>
      </c>
      <c r="AY2" s="199" t="s">
        <v>10</v>
      </c>
      <c r="AZ2" s="198" t="s">
        <v>11</v>
      </c>
      <c r="BA2" s="199" t="s">
        <v>11</v>
      </c>
      <c r="BB2" s="199" t="s">
        <v>11</v>
      </c>
      <c r="BC2" s="199" t="s">
        <v>11</v>
      </c>
      <c r="BD2" s="199" t="s">
        <v>11</v>
      </c>
      <c r="BE2" s="198" t="s">
        <v>8</v>
      </c>
      <c r="BF2" s="199" t="s">
        <v>8</v>
      </c>
      <c r="BG2" s="199" t="s">
        <v>8</v>
      </c>
      <c r="BH2" s="199" t="s">
        <v>8</v>
      </c>
      <c r="BI2" s="199" t="s">
        <v>8</v>
      </c>
      <c r="BJ2" s="198" t="s">
        <v>9</v>
      </c>
      <c r="BK2" s="199" t="s">
        <v>9</v>
      </c>
      <c r="BL2" s="199" t="s">
        <v>9</v>
      </c>
      <c r="BM2" s="199" t="s">
        <v>9</v>
      </c>
      <c r="BN2" s="200" t="s">
        <v>9</v>
      </c>
      <c r="BO2" s="199" t="s">
        <v>410</v>
      </c>
      <c r="BP2" s="199" t="s">
        <v>410</v>
      </c>
      <c r="BQ2" s="199" t="s">
        <v>410</v>
      </c>
      <c r="BR2" s="199" t="s">
        <v>410</v>
      </c>
      <c r="BS2" s="200" t="s">
        <v>410</v>
      </c>
      <c r="BT2" s="199" t="s">
        <v>411</v>
      </c>
      <c r="BU2" s="199" t="s">
        <v>411</v>
      </c>
      <c r="BV2" s="199" t="s">
        <v>411</v>
      </c>
      <c r="BW2" s="199" t="s">
        <v>411</v>
      </c>
      <c r="BX2" s="200" t="s">
        <v>411</v>
      </c>
      <c r="BY2" s="199" t="s">
        <v>12</v>
      </c>
      <c r="BZ2" s="199" t="s">
        <v>12</v>
      </c>
      <c r="CA2" s="199" t="s">
        <v>12</v>
      </c>
      <c r="CB2" s="199" t="s">
        <v>12</v>
      </c>
      <c r="CC2" s="199" t="s">
        <v>12</v>
      </c>
      <c r="CD2" s="198" t="s">
        <v>13</v>
      </c>
      <c r="CE2" s="199" t="s">
        <v>13</v>
      </c>
      <c r="CF2" s="199" t="s">
        <v>13</v>
      </c>
      <c r="CG2" s="199" t="s">
        <v>13</v>
      </c>
      <c r="CH2" s="200" t="s">
        <v>13</v>
      </c>
    </row>
    <row r="3" spans="1:86" ht="15.75" thickBot="1" x14ac:dyDescent="0.3">
      <c r="A3" s="193" t="s">
        <v>14</v>
      </c>
      <c r="B3" s="201">
        <v>2020</v>
      </c>
      <c r="C3" s="202">
        <v>2021</v>
      </c>
      <c r="D3" s="202">
        <v>2022</v>
      </c>
      <c r="E3" s="202">
        <v>2023</v>
      </c>
      <c r="F3" s="216">
        <v>2024</v>
      </c>
      <c r="G3" s="201">
        <v>2020</v>
      </c>
      <c r="H3" s="202">
        <v>2021</v>
      </c>
      <c r="I3" s="202">
        <v>2022</v>
      </c>
      <c r="J3" s="202">
        <v>2023</v>
      </c>
      <c r="K3" s="216">
        <v>2024</v>
      </c>
      <c r="L3" s="201">
        <v>2020</v>
      </c>
      <c r="M3" s="202">
        <v>2021</v>
      </c>
      <c r="N3" s="202">
        <v>2022</v>
      </c>
      <c r="O3" s="202">
        <v>2023</v>
      </c>
      <c r="P3" s="202">
        <v>2024</v>
      </c>
      <c r="Q3" s="201">
        <v>2020</v>
      </c>
      <c r="R3" s="202">
        <v>2021</v>
      </c>
      <c r="S3" s="202">
        <v>2022</v>
      </c>
      <c r="T3" s="202">
        <v>2023</v>
      </c>
      <c r="U3" s="202">
        <v>2024</v>
      </c>
      <c r="V3" s="201">
        <v>2020</v>
      </c>
      <c r="W3" s="202">
        <v>2021</v>
      </c>
      <c r="X3" s="202">
        <v>2022</v>
      </c>
      <c r="Y3" s="202">
        <v>2023</v>
      </c>
      <c r="Z3" s="202">
        <v>2024</v>
      </c>
      <c r="AA3" s="201">
        <v>2020</v>
      </c>
      <c r="AB3" s="202">
        <v>2021</v>
      </c>
      <c r="AC3" s="202">
        <v>2022</v>
      </c>
      <c r="AD3" s="202">
        <v>2023</v>
      </c>
      <c r="AE3" s="202">
        <v>2024</v>
      </c>
      <c r="AF3" s="201">
        <v>2020</v>
      </c>
      <c r="AG3" s="202">
        <v>2021</v>
      </c>
      <c r="AH3" s="202">
        <v>2022</v>
      </c>
      <c r="AI3" s="202">
        <v>2023</v>
      </c>
      <c r="AJ3" s="202">
        <v>2024</v>
      </c>
      <c r="AK3" s="201">
        <v>2020</v>
      </c>
      <c r="AL3" s="202">
        <v>2021</v>
      </c>
      <c r="AM3" s="202">
        <v>2022</v>
      </c>
      <c r="AN3" s="202">
        <v>2023</v>
      </c>
      <c r="AO3" s="202">
        <v>2024</v>
      </c>
      <c r="AP3" s="201">
        <v>2020</v>
      </c>
      <c r="AQ3" s="202">
        <v>2021</v>
      </c>
      <c r="AR3" s="202">
        <v>2022</v>
      </c>
      <c r="AS3" s="202">
        <v>2023</v>
      </c>
      <c r="AT3" s="202">
        <v>2024</v>
      </c>
      <c r="AU3" s="201">
        <v>2020</v>
      </c>
      <c r="AV3" s="202">
        <v>2021</v>
      </c>
      <c r="AW3" s="202">
        <v>2022</v>
      </c>
      <c r="AX3" s="202">
        <v>2023</v>
      </c>
      <c r="AY3" s="202">
        <v>2024</v>
      </c>
      <c r="AZ3" s="201">
        <v>2020</v>
      </c>
      <c r="BA3" s="202">
        <v>2021</v>
      </c>
      <c r="BB3" s="202">
        <v>2022</v>
      </c>
      <c r="BC3" s="202">
        <v>2023</v>
      </c>
      <c r="BD3" s="202">
        <v>2024</v>
      </c>
      <c r="BE3" s="201">
        <v>2020</v>
      </c>
      <c r="BF3" s="202">
        <v>2021</v>
      </c>
      <c r="BG3" s="202">
        <v>2022</v>
      </c>
      <c r="BH3" s="202">
        <v>2023</v>
      </c>
      <c r="BI3" s="202">
        <v>2024</v>
      </c>
      <c r="BJ3" s="201">
        <v>2020</v>
      </c>
      <c r="BK3" s="202">
        <v>2021</v>
      </c>
      <c r="BL3" s="202">
        <v>2022</v>
      </c>
      <c r="BM3" s="202">
        <v>2023</v>
      </c>
      <c r="BN3" s="202">
        <v>2024</v>
      </c>
      <c r="BO3" s="201">
        <v>2020</v>
      </c>
      <c r="BP3" s="202">
        <v>2021</v>
      </c>
      <c r="BQ3" s="202">
        <v>2022</v>
      </c>
      <c r="BR3" s="202">
        <v>2023</v>
      </c>
      <c r="BS3" s="202">
        <v>2024</v>
      </c>
      <c r="BT3" s="201">
        <v>2020</v>
      </c>
      <c r="BU3" s="202">
        <v>2021</v>
      </c>
      <c r="BV3" s="202">
        <v>2022</v>
      </c>
      <c r="BW3" s="202">
        <v>2023</v>
      </c>
      <c r="BX3" s="202">
        <v>2024</v>
      </c>
      <c r="BY3" s="201">
        <v>2020</v>
      </c>
      <c r="BZ3" s="202">
        <v>2021</v>
      </c>
      <c r="CA3" s="202">
        <v>2022</v>
      </c>
      <c r="CB3" s="202">
        <v>2023</v>
      </c>
      <c r="CC3" s="202">
        <v>2024</v>
      </c>
      <c r="CD3" s="201">
        <v>2020</v>
      </c>
      <c r="CE3" s="202">
        <v>2021</v>
      </c>
      <c r="CF3" s="202">
        <v>2022</v>
      </c>
      <c r="CG3" s="202">
        <v>2023</v>
      </c>
      <c r="CH3" s="216">
        <v>2024</v>
      </c>
    </row>
    <row r="4" spans="1:86" x14ac:dyDescent="0.25">
      <c r="A4" s="203" t="s">
        <v>34</v>
      </c>
      <c r="B4" s="204">
        <v>34.410000000000004</v>
      </c>
      <c r="C4" s="205">
        <v>28.5</v>
      </c>
      <c r="D4" s="205">
        <v>47.88</v>
      </c>
      <c r="E4" s="205">
        <v>56.97</v>
      </c>
      <c r="F4" s="205">
        <v>47.24</v>
      </c>
      <c r="G4" s="204">
        <v>16</v>
      </c>
      <c r="H4" s="205">
        <v>19.2</v>
      </c>
      <c r="I4" s="205">
        <v>19.2</v>
      </c>
      <c r="J4" s="205">
        <v>33.17</v>
      </c>
      <c r="K4" s="206">
        <v>19.02</v>
      </c>
      <c r="L4" s="205">
        <v>67.680000000000007</v>
      </c>
      <c r="M4" s="205">
        <v>66.400000000000006</v>
      </c>
      <c r="N4" s="205">
        <v>65.12</v>
      </c>
      <c r="O4" s="205">
        <v>122.71000000000001</v>
      </c>
      <c r="P4" s="205">
        <v>78.13</v>
      </c>
      <c r="Q4" s="204">
        <v>53.18</v>
      </c>
      <c r="R4" s="205">
        <v>35.950000000000003</v>
      </c>
      <c r="S4" s="205">
        <v>57.88</v>
      </c>
      <c r="T4" s="205">
        <v>74.41</v>
      </c>
      <c r="U4" s="206">
        <v>85.94</v>
      </c>
      <c r="V4" s="205">
        <v>56.55</v>
      </c>
      <c r="W4" s="205">
        <v>40</v>
      </c>
      <c r="X4" s="205">
        <v>69</v>
      </c>
      <c r="Y4" s="205">
        <v>100.5</v>
      </c>
      <c r="Z4" s="205">
        <v>52</v>
      </c>
      <c r="AA4" s="204">
        <v>16.8</v>
      </c>
      <c r="AB4" s="205">
        <v>15.2</v>
      </c>
      <c r="AC4" s="205">
        <v>20.47</v>
      </c>
      <c r="AD4" s="205">
        <v>30</v>
      </c>
      <c r="AE4" s="205">
        <v>22</v>
      </c>
      <c r="AF4" s="227">
        <v>22</v>
      </c>
      <c r="AG4" s="222">
        <v>21</v>
      </c>
      <c r="AH4" s="222">
        <v>27</v>
      </c>
      <c r="AI4" s="222">
        <v>61</v>
      </c>
      <c r="AJ4" s="228">
        <v>53</v>
      </c>
      <c r="AK4" s="205">
        <v>1504.73</v>
      </c>
      <c r="AL4" s="205">
        <v>1185.5999999999999</v>
      </c>
      <c r="AM4" s="205">
        <v>1370.23</v>
      </c>
      <c r="AN4" s="205">
        <v>2370.94</v>
      </c>
      <c r="AO4" s="205">
        <v>1777.7</v>
      </c>
      <c r="AP4" s="204">
        <v>1535.19</v>
      </c>
      <c r="AQ4" s="205">
        <v>1637.04</v>
      </c>
      <c r="AR4" s="205">
        <v>1640.6499999999999</v>
      </c>
      <c r="AS4" s="205">
        <v>2225.4</v>
      </c>
      <c r="AT4" s="206">
        <v>1607.02</v>
      </c>
      <c r="AU4" s="205">
        <v>1293.5999999999999</v>
      </c>
      <c r="AV4" s="205">
        <v>1293.5999999999999</v>
      </c>
      <c r="AW4" s="205">
        <v>1732.12</v>
      </c>
      <c r="AX4" s="205">
        <v>3074.28</v>
      </c>
      <c r="AY4" s="205">
        <v>2178.66</v>
      </c>
      <c r="AZ4" s="204">
        <v>865</v>
      </c>
      <c r="BA4" s="205">
        <v>788.8</v>
      </c>
      <c r="BB4" s="205">
        <v>929</v>
      </c>
      <c r="BC4" s="205">
        <v>1657</v>
      </c>
      <c r="BD4" s="206">
        <v>1434</v>
      </c>
      <c r="BE4" s="205">
        <v>1157</v>
      </c>
      <c r="BF4" s="205">
        <v>704</v>
      </c>
      <c r="BG4" s="205">
        <v>1000</v>
      </c>
      <c r="BH4" s="205">
        <v>1033</v>
      </c>
      <c r="BI4" s="205">
        <v>893</v>
      </c>
      <c r="BJ4" s="204">
        <v>567</v>
      </c>
      <c r="BK4" s="205">
        <v>519.20000000000005</v>
      </c>
      <c r="BL4" s="205">
        <v>544</v>
      </c>
      <c r="BM4" s="205">
        <v>787</v>
      </c>
      <c r="BN4" s="206">
        <v>590</v>
      </c>
      <c r="BO4" s="205">
        <v>1242</v>
      </c>
      <c r="BP4" s="205">
        <v>1200</v>
      </c>
      <c r="BQ4" s="205">
        <v>1200</v>
      </c>
      <c r="BR4" s="205">
        <v>1957</v>
      </c>
      <c r="BS4" s="206">
        <v>1468</v>
      </c>
      <c r="BT4" s="205" t="s">
        <v>386</v>
      </c>
      <c r="BU4" s="205" t="s">
        <v>386</v>
      </c>
      <c r="BV4" s="205" t="s">
        <v>386</v>
      </c>
      <c r="BW4" s="205" t="s">
        <v>386</v>
      </c>
      <c r="BX4" s="206" t="s">
        <v>386</v>
      </c>
      <c r="BY4" s="205">
        <v>931.2</v>
      </c>
      <c r="BZ4" s="205">
        <v>931.2</v>
      </c>
      <c r="CA4" s="205">
        <v>1329</v>
      </c>
      <c r="CB4" s="205">
        <v>2329</v>
      </c>
      <c r="CC4" s="205">
        <v>1651</v>
      </c>
      <c r="CD4" s="204">
        <v>1719</v>
      </c>
      <c r="CE4" s="205">
        <v>960</v>
      </c>
      <c r="CF4" s="205">
        <v>828</v>
      </c>
      <c r="CG4" s="205">
        <v>1695</v>
      </c>
      <c r="CH4" s="206">
        <v>3015</v>
      </c>
    </row>
    <row r="5" spans="1:86" x14ac:dyDescent="0.25">
      <c r="A5" s="91" t="s">
        <v>35</v>
      </c>
      <c r="B5" s="207">
        <v>57.34</v>
      </c>
      <c r="C5" s="208">
        <v>58.55</v>
      </c>
      <c r="D5" s="208">
        <v>62.91</v>
      </c>
      <c r="E5" s="208">
        <v>69.84</v>
      </c>
      <c r="F5" s="208">
        <v>70.52</v>
      </c>
      <c r="G5" s="207">
        <v>39.880000000000003</v>
      </c>
      <c r="H5" s="208">
        <v>34.550000000000004</v>
      </c>
      <c r="I5" s="208">
        <v>41.76</v>
      </c>
      <c r="J5" s="208">
        <v>40.919999999999995</v>
      </c>
      <c r="K5" s="209">
        <v>41.35</v>
      </c>
      <c r="L5" s="208">
        <v>172.74</v>
      </c>
      <c r="M5" s="208">
        <v>146.11000000000001</v>
      </c>
      <c r="N5" s="208">
        <v>173.04</v>
      </c>
      <c r="O5" s="208">
        <v>178.82999999999998</v>
      </c>
      <c r="P5" s="208">
        <v>184.58</v>
      </c>
      <c r="Q5" s="207">
        <v>75.39</v>
      </c>
      <c r="R5" s="208">
        <v>68.84</v>
      </c>
      <c r="S5" s="208">
        <v>77.06</v>
      </c>
      <c r="T5" s="208">
        <v>82.84</v>
      </c>
      <c r="U5" s="209">
        <v>74.429999999999993</v>
      </c>
      <c r="V5" s="208">
        <v>57.56</v>
      </c>
      <c r="W5" s="208">
        <v>57.6</v>
      </c>
      <c r="X5" s="208">
        <v>78.5</v>
      </c>
      <c r="Y5" s="208">
        <v>102.47</v>
      </c>
      <c r="Z5" s="208">
        <v>56.8</v>
      </c>
      <c r="AA5" s="207">
        <v>17</v>
      </c>
      <c r="AB5" s="208">
        <v>15.2</v>
      </c>
      <c r="AC5" s="208">
        <v>31</v>
      </c>
      <c r="AD5" s="208">
        <v>14</v>
      </c>
      <c r="AE5" s="208">
        <v>22</v>
      </c>
      <c r="AF5" s="362">
        <v>69</v>
      </c>
      <c r="AG5" s="363">
        <v>52</v>
      </c>
      <c r="AH5" s="363">
        <v>78</v>
      </c>
      <c r="AI5" s="363">
        <v>87</v>
      </c>
      <c r="AJ5" s="364">
        <v>91</v>
      </c>
      <c r="AK5" s="208">
        <v>1661</v>
      </c>
      <c r="AL5" s="208">
        <v>1167.2</v>
      </c>
      <c r="AM5" s="208">
        <v>1794</v>
      </c>
      <c r="AN5" s="208">
        <v>2620</v>
      </c>
      <c r="AO5" s="208">
        <v>2392.21</v>
      </c>
      <c r="AP5" s="207">
        <v>1854.89</v>
      </c>
      <c r="AQ5" s="208">
        <v>2273.6600000000003</v>
      </c>
      <c r="AR5" s="208">
        <v>2342.34</v>
      </c>
      <c r="AS5" s="208">
        <v>2290.5099999999998</v>
      </c>
      <c r="AT5" s="209">
        <v>1763.21</v>
      </c>
      <c r="AU5" s="208">
        <v>1796</v>
      </c>
      <c r="AV5" s="208">
        <v>1796</v>
      </c>
      <c r="AW5" s="208">
        <v>2106.4</v>
      </c>
      <c r="AX5" s="208">
        <v>3275</v>
      </c>
      <c r="AY5" s="208">
        <v>2106.4</v>
      </c>
      <c r="AZ5" s="207" t="s">
        <v>386</v>
      </c>
      <c r="BA5" s="208" t="s">
        <v>386</v>
      </c>
      <c r="BB5" s="208" t="s">
        <v>386</v>
      </c>
      <c r="BC5" s="208" t="s">
        <v>386</v>
      </c>
      <c r="BD5" s="209" t="s">
        <v>386</v>
      </c>
      <c r="BE5" s="208" t="s">
        <v>386</v>
      </c>
      <c r="BF5" s="208" t="s">
        <v>386</v>
      </c>
      <c r="BG5" s="208" t="s">
        <v>386</v>
      </c>
      <c r="BH5" s="208" t="s">
        <v>386</v>
      </c>
      <c r="BI5" s="208" t="s">
        <v>386</v>
      </c>
      <c r="BJ5" s="207" t="s">
        <v>386</v>
      </c>
      <c r="BK5" s="208" t="s">
        <v>386</v>
      </c>
      <c r="BL5" s="208" t="s">
        <v>386</v>
      </c>
      <c r="BM5" s="208" t="s">
        <v>386</v>
      </c>
      <c r="BN5" s="209" t="s">
        <v>386</v>
      </c>
      <c r="BO5" s="208" t="s">
        <v>386</v>
      </c>
      <c r="BP5" s="208" t="s">
        <v>386</v>
      </c>
      <c r="BQ5" s="208" t="s">
        <v>386</v>
      </c>
      <c r="BR5" s="208" t="s">
        <v>386</v>
      </c>
      <c r="BS5" s="209" t="s">
        <v>386</v>
      </c>
      <c r="BT5" s="208" t="s">
        <v>386</v>
      </c>
      <c r="BU5" s="208" t="s">
        <v>386</v>
      </c>
      <c r="BV5" s="208" t="s">
        <v>386</v>
      </c>
      <c r="BW5" s="208" t="s">
        <v>386</v>
      </c>
      <c r="BX5" s="209" t="s">
        <v>386</v>
      </c>
      <c r="BY5" s="208" t="s">
        <v>386</v>
      </c>
      <c r="BZ5" s="208" t="s">
        <v>386</v>
      </c>
      <c r="CA5" s="208" t="s">
        <v>386</v>
      </c>
      <c r="CB5" s="208" t="s">
        <v>386</v>
      </c>
      <c r="CC5" s="208" t="s">
        <v>386</v>
      </c>
      <c r="CD5" s="207" t="s">
        <v>386</v>
      </c>
      <c r="CE5" s="208" t="s">
        <v>386</v>
      </c>
      <c r="CF5" s="208" t="s">
        <v>386</v>
      </c>
      <c r="CG5" s="208" t="s">
        <v>386</v>
      </c>
      <c r="CH5" s="209" t="s">
        <v>386</v>
      </c>
    </row>
    <row r="6" spans="1:86" x14ac:dyDescent="0.25">
      <c r="A6" s="91" t="s">
        <v>36</v>
      </c>
      <c r="B6" s="207">
        <v>61.589999999999996</v>
      </c>
      <c r="C6" s="208">
        <v>46</v>
      </c>
      <c r="D6" s="208">
        <v>61.260000000000005</v>
      </c>
      <c r="E6" s="208">
        <v>58.86</v>
      </c>
      <c r="F6" s="208">
        <v>69.37</v>
      </c>
      <c r="G6" s="207">
        <v>34.76</v>
      </c>
      <c r="H6" s="208">
        <v>27.6</v>
      </c>
      <c r="I6" s="208">
        <v>38.65</v>
      </c>
      <c r="J6" s="208">
        <v>32.29</v>
      </c>
      <c r="K6" s="209">
        <v>45.05</v>
      </c>
      <c r="L6" s="208">
        <v>145.04000000000002</v>
      </c>
      <c r="M6" s="208">
        <v>111.75</v>
      </c>
      <c r="N6" s="208">
        <v>153.23000000000002</v>
      </c>
      <c r="O6" s="208">
        <v>132.77000000000001</v>
      </c>
      <c r="P6" s="208">
        <v>173.21</v>
      </c>
      <c r="Q6" s="207">
        <v>76.5</v>
      </c>
      <c r="R6" s="208">
        <v>60</v>
      </c>
      <c r="S6" s="208">
        <v>81.680000000000007</v>
      </c>
      <c r="T6" s="208">
        <v>81.550000000000011</v>
      </c>
      <c r="U6" s="209">
        <v>68.69</v>
      </c>
      <c r="V6" s="208">
        <v>89.08</v>
      </c>
      <c r="W6" s="208">
        <v>56.8</v>
      </c>
      <c r="X6" s="208">
        <v>61.53</v>
      </c>
      <c r="Y6" s="208">
        <v>56.8</v>
      </c>
      <c r="Z6" s="208">
        <v>89.04</v>
      </c>
      <c r="AA6" s="207">
        <v>21.63</v>
      </c>
      <c r="AB6" s="208">
        <v>16.8</v>
      </c>
      <c r="AC6" s="208">
        <v>27</v>
      </c>
      <c r="AD6" s="208">
        <v>16.8</v>
      </c>
      <c r="AE6" s="208">
        <v>27</v>
      </c>
      <c r="AF6" s="229">
        <v>57</v>
      </c>
      <c r="AG6" s="220">
        <v>33</v>
      </c>
      <c r="AH6" s="220">
        <v>68</v>
      </c>
      <c r="AI6" s="220">
        <v>64</v>
      </c>
      <c r="AJ6" s="224">
        <v>85</v>
      </c>
      <c r="AK6" s="208">
        <v>2201.5</v>
      </c>
      <c r="AL6" s="208">
        <v>1444.6</v>
      </c>
      <c r="AM6" s="208">
        <v>2392.35</v>
      </c>
      <c r="AN6" s="208">
        <v>1906.85</v>
      </c>
      <c r="AO6" s="208">
        <v>2187.59</v>
      </c>
      <c r="AP6" s="207">
        <v>2010.6200000000001</v>
      </c>
      <c r="AQ6" s="208">
        <v>1330.19</v>
      </c>
      <c r="AR6" s="208">
        <v>1947.67</v>
      </c>
      <c r="AS6" s="208">
        <v>1853.72</v>
      </c>
      <c r="AT6" s="209">
        <v>1511.1200000000001</v>
      </c>
      <c r="AU6" s="208">
        <v>2727.7</v>
      </c>
      <c r="AV6" s="208">
        <v>1752</v>
      </c>
      <c r="AW6" s="208">
        <v>2072</v>
      </c>
      <c r="AX6" s="208">
        <v>1814.4</v>
      </c>
      <c r="AY6" s="208">
        <v>2756.43</v>
      </c>
      <c r="AZ6" s="207">
        <v>1893</v>
      </c>
      <c r="BA6" s="208">
        <v>1030.4000000000001</v>
      </c>
      <c r="BB6" s="208">
        <v>1111</v>
      </c>
      <c r="BC6" s="208">
        <v>1030.4000000000001</v>
      </c>
      <c r="BD6" s="209">
        <v>1485</v>
      </c>
      <c r="BE6" s="208" t="s">
        <v>386</v>
      </c>
      <c r="BF6" s="208" t="s">
        <v>386</v>
      </c>
      <c r="BG6" s="208" t="s">
        <v>386</v>
      </c>
      <c r="BH6" s="208" t="s">
        <v>386</v>
      </c>
      <c r="BI6" s="208" t="s">
        <v>386</v>
      </c>
      <c r="BJ6" s="207">
        <v>770</v>
      </c>
      <c r="BK6" s="208">
        <v>615.20000000000005</v>
      </c>
      <c r="BL6" s="208">
        <v>679</v>
      </c>
      <c r="BM6" s="208">
        <v>615.20000000000005</v>
      </c>
      <c r="BN6" s="209">
        <v>708</v>
      </c>
      <c r="BO6" s="208" t="s">
        <v>386</v>
      </c>
      <c r="BP6" s="208" t="s">
        <v>386</v>
      </c>
      <c r="BQ6" s="208" t="s">
        <v>386</v>
      </c>
      <c r="BR6" s="208" t="s">
        <v>386</v>
      </c>
      <c r="BS6" s="209" t="s">
        <v>386</v>
      </c>
      <c r="BT6" s="208" t="s">
        <v>386</v>
      </c>
      <c r="BU6" s="208" t="s">
        <v>386</v>
      </c>
      <c r="BV6" s="208" t="s">
        <v>386</v>
      </c>
      <c r="BW6" s="208" t="s">
        <v>386</v>
      </c>
      <c r="BX6" s="209" t="s">
        <v>386</v>
      </c>
      <c r="BY6" s="208" t="s">
        <v>386</v>
      </c>
      <c r="BZ6" s="208" t="s">
        <v>386</v>
      </c>
      <c r="CA6" s="208" t="s">
        <v>386</v>
      </c>
      <c r="CB6" s="208" t="s">
        <v>386</v>
      </c>
      <c r="CC6" s="208" t="s">
        <v>386</v>
      </c>
      <c r="CD6" s="207" t="s">
        <v>386</v>
      </c>
      <c r="CE6" s="208" t="s">
        <v>386</v>
      </c>
      <c r="CF6" s="208" t="s">
        <v>386</v>
      </c>
      <c r="CG6" s="208" t="s">
        <v>386</v>
      </c>
      <c r="CH6" s="209" t="s">
        <v>386</v>
      </c>
    </row>
    <row r="7" spans="1:86" x14ac:dyDescent="0.25">
      <c r="A7" s="91" t="s">
        <v>37</v>
      </c>
      <c r="B7" s="207">
        <v>38.21</v>
      </c>
      <c r="C7" s="208">
        <v>30.150000000000002</v>
      </c>
      <c r="D7" s="208">
        <v>40.96</v>
      </c>
      <c r="E7" s="208">
        <v>40.46</v>
      </c>
      <c r="F7" s="208">
        <v>26.939999999999998</v>
      </c>
      <c r="G7" s="207" t="s">
        <v>386</v>
      </c>
      <c r="H7" s="208" t="s">
        <v>386</v>
      </c>
      <c r="I7" s="208" t="s">
        <v>386</v>
      </c>
      <c r="J7" s="208" t="s">
        <v>386</v>
      </c>
      <c r="K7" s="209" t="s">
        <v>386</v>
      </c>
      <c r="L7" s="208">
        <v>65.760000000000005</v>
      </c>
      <c r="M7" s="208">
        <v>60</v>
      </c>
      <c r="N7" s="208">
        <v>60</v>
      </c>
      <c r="O7" s="208">
        <v>96.51</v>
      </c>
      <c r="P7" s="208">
        <v>61.96</v>
      </c>
      <c r="Q7" s="207">
        <v>54.91</v>
      </c>
      <c r="R7" s="208">
        <v>33.6</v>
      </c>
      <c r="S7" s="208">
        <v>51</v>
      </c>
      <c r="T7" s="208">
        <v>38.4</v>
      </c>
      <c r="U7" s="209">
        <v>60</v>
      </c>
      <c r="V7" s="208">
        <v>33.6</v>
      </c>
      <c r="W7" s="208">
        <v>40</v>
      </c>
      <c r="X7" s="208">
        <v>59.06</v>
      </c>
      <c r="Y7" s="208">
        <v>72.08</v>
      </c>
      <c r="Z7" s="208">
        <v>45.52</v>
      </c>
      <c r="AA7" s="207">
        <v>16</v>
      </c>
      <c r="AB7" s="208">
        <v>12</v>
      </c>
      <c r="AC7" s="208">
        <v>19</v>
      </c>
      <c r="AD7" s="208">
        <v>17</v>
      </c>
      <c r="AE7" s="208">
        <v>16</v>
      </c>
      <c r="AF7" s="362" t="s">
        <v>386</v>
      </c>
      <c r="AG7" s="363" t="s">
        <v>386</v>
      </c>
      <c r="AH7" s="363" t="s">
        <v>386</v>
      </c>
      <c r="AI7" s="363" t="s">
        <v>386</v>
      </c>
      <c r="AJ7" s="364" t="s">
        <v>386</v>
      </c>
      <c r="AK7" s="208">
        <v>1770</v>
      </c>
      <c r="AL7" s="208">
        <v>954.4</v>
      </c>
      <c r="AM7" s="208">
        <v>1523</v>
      </c>
      <c r="AN7" s="208">
        <v>2152</v>
      </c>
      <c r="AO7" s="208">
        <v>1616.69</v>
      </c>
      <c r="AP7" s="207">
        <v>1391.48</v>
      </c>
      <c r="AQ7" s="208">
        <v>1349.73</v>
      </c>
      <c r="AR7" s="208">
        <v>1512.46</v>
      </c>
      <c r="AS7" s="208">
        <v>2242.33</v>
      </c>
      <c r="AT7" s="209">
        <v>1681.56</v>
      </c>
      <c r="AU7" s="208">
        <v>1910</v>
      </c>
      <c r="AV7" s="208">
        <v>1498.4</v>
      </c>
      <c r="AW7" s="208">
        <v>2555.61</v>
      </c>
      <c r="AX7" s="208">
        <v>2794</v>
      </c>
      <c r="AY7" s="208">
        <v>2240</v>
      </c>
      <c r="AZ7" s="207" t="s">
        <v>386</v>
      </c>
      <c r="BA7" s="208" t="s">
        <v>386</v>
      </c>
      <c r="BB7" s="208" t="s">
        <v>386</v>
      </c>
      <c r="BC7" s="208" t="s">
        <v>386</v>
      </c>
      <c r="BD7" s="209" t="s">
        <v>386</v>
      </c>
      <c r="BE7" s="208">
        <v>963</v>
      </c>
      <c r="BF7" s="208">
        <v>686.4</v>
      </c>
      <c r="BG7" s="208">
        <v>997</v>
      </c>
      <c r="BH7" s="208">
        <v>977</v>
      </c>
      <c r="BI7" s="208">
        <v>1075</v>
      </c>
      <c r="BJ7" s="207">
        <v>667</v>
      </c>
      <c r="BK7" s="208">
        <v>438.4</v>
      </c>
      <c r="BL7" s="208">
        <v>452</v>
      </c>
      <c r="BM7" s="208">
        <v>714</v>
      </c>
      <c r="BN7" s="209">
        <v>537</v>
      </c>
      <c r="BO7" s="208">
        <v>1461</v>
      </c>
      <c r="BP7" s="208">
        <v>1200</v>
      </c>
      <c r="BQ7" s="208">
        <v>1257</v>
      </c>
      <c r="BR7" s="208">
        <v>1777</v>
      </c>
      <c r="BS7" s="209">
        <v>1335</v>
      </c>
      <c r="BT7" s="208" t="s">
        <v>386</v>
      </c>
      <c r="BU7" s="208" t="s">
        <v>386</v>
      </c>
      <c r="BV7" s="208" t="s">
        <v>386</v>
      </c>
      <c r="BW7" s="208" t="s">
        <v>386</v>
      </c>
      <c r="BX7" s="209" t="s">
        <v>386</v>
      </c>
      <c r="BY7" s="208" t="s">
        <v>386</v>
      </c>
      <c r="BZ7" s="208" t="s">
        <v>386</v>
      </c>
      <c r="CA7" s="208" t="s">
        <v>386</v>
      </c>
      <c r="CB7" s="208" t="s">
        <v>386</v>
      </c>
      <c r="CC7" s="208" t="s">
        <v>386</v>
      </c>
      <c r="CD7" s="207">
        <v>1719</v>
      </c>
      <c r="CE7" s="208">
        <v>1471</v>
      </c>
      <c r="CF7" s="208">
        <v>682.4</v>
      </c>
      <c r="CG7" s="208">
        <v>2501</v>
      </c>
      <c r="CH7" s="209">
        <v>2740</v>
      </c>
    </row>
    <row r="8" spans="1:86" x14ac:dyDescent="0.25">
      <c r="A8" s="91" t="s">
        <v>38</v>
      </c>
      <c r="B8" s="207">
        <v>65.77</v>
      </c>
      <c r="C8" s="208">
        <v>43.97</v>
      </c>
      <c r="D8" s="208">
        <v>65.08</v>
      </c>
      <c r="E8" s="208">
        <v>57.03</v>
      </c>
      <c r="F8" s="208">
        <v>70.069999999999993</v>
      </c>
      <c r="G8" s="207">
        <v>31.299999999999997</v>
      </c>
      <c r="H8" s="208">
        <v>29.2</v>
      </c>
      <c r="I8" s="208">
        <v>37.130000000000003</v>
      </c>
      <c r="J8" s="208">
        <v>32.090000000000003</v>
      </c>
      <c r="K8" s="209">
        <v>40.659999999999997</v>
      </c>
      <c r="L8" s="208">
        <v>111.53</v>
      </c>
      <c r="M8" s="208">
        <v>108.82</v>
      </c>
      <c r="N8" s="208">
        <v>128.74</v>
      </c>
      <c r="O8" s="208">
        <v>118.2</v>
      </c>
      <c r="P8" s="208">
        <v>142.84</v>
      </c>
      <c r="Q8" s="207">
        <v>95.93</v>
      </c>
      <c r="R8" s="208">
        <v>62.01</v>
      </c>
      <c r="S8" s="208">
        <v>87.679999999999993</v>
      </c>
      <c r="T8" s="208">
        <v>74.94</v>
      </c>
      <c r="U8" s="209">
        <v>88.3</v>
      </c>
      <c r="V8" s="208">
        <v>124.81</v>
      </c>
      <c r="W8" s="208">
        <v>74.52</v>
      </c>
      <c r="X8" s="208">
        <v>112.29</v>
      </c>
      <c r="Y8" s="208">
        <v>102.91</v>
      </c>
      <c r="Z8" s="208">
        <v>141.25</v>
      </c>
      <c r="AA8" s="207">
        <v>27.26</v>
      </c>
      <c r="AB8" s="208">
        <v>16.8</v>
      </c>
      <c r="AC8" s="208">
        <v>26.49</v>
      </c>
      <c r="AD8" s="208">
        <v>21.3</v>
      </c>
      <c r="AE8" s="208">
        <v>30.19</v>
      </c>
      <c r="AF8" s="229" t="s">
        <v>386</v>
      </c>
      <c r="AG8" s="220" t="s">
        <v>386</v>
      </c>
      <c r="AH8" s="220" t="s">
        <v>386</v>
      </c>
      <c r="AI8" s="220" t="s">
        <v>386</v>
      </c>
      <c r="AJ8" s="224" t="s">
        <v>386</v>
      </c>
      <c r="AK8" s="208">
        <v>2367.2800000000002</v>
      </c>
      <c r="AL8" s="208">
        <v>1673.96</v>
      </c>
      <c r="AM8" s="208">
        <v>2425.59</v>
      </c>
      <c r="AN8" s="208">
        <v>2198.87</v>
      </c>
      <c r="AO8" s="208">
        <v>2042.19</v>
      </c>
      <c r="AP8" s="207">
        <v>1788.6599999999999</v>
      </c>
      <c r="AQ8" s="208">
        <v>1725.64</v>
      </c>
      <c r="AR8" s="208">
        <v>1866.69</v>
      </c>
      <c r="AS8" s="208">
        <v>1443.7</v>
      </c>
      <c r="AT8" s="209">
        <v>1958.28</v>
      </c>
      <c r="AU8" s="208">
        <v>2605.4</v>
      </c>
      <c r="AV8" s="208">
        <v>1788.29</v>
      </c>
      <c r="AW8" s="208">
        <v>3118.96</v>
      </c>
      <c r="AX8" s="208">
        <v>2185.92</v>
      </c>
      <c r="AY8" s="208">
        <v>2670.39</v>
      </c>
      <c r="AZ8" s="207">
        <v>1808</v>
      </c>
      <c r="BA8" s="208">
        <v>1009</v>
      </c>
      <c r="BB8" s="208">
        <v>1672</v>
      </c>
      <c r="BC8" s="208">
        <v>1178</v>
      </c>
      <c r="BD8" s="209">
        <v>1439</v>
      </c>
      <c r="BE8" s="208">
        <v>950</v>
      </c>
      <c r="BF8" s="208">
        <v>638</v>
      </c>
      <c r="BG8" s="208">
        <v>1018</v>
      </c>
      <c r="BH8" s="208">
        <v>1036</v>
      </c>
      <c r="BI8" s="208">
        <v>1015</v>
      </c>
      <c r="BJ8" s="207">
        <v>823</v>
      </c>
      <c r="BK8" s="208">
        <v>732</v>
      </c>
      <c r="BL8" s="208">
        <v>732</v>
      </c>
      <c r="BM8" s="208">
        <v>732</v>
      </c>
      <c r="BN8" s="209">
        <v>732</v>
      </c>
      <c r="BO8" s="208">
        <v>1803</v>
      </c>
      <c r="BP8" s="208">
        <v>1256</v>
      </c>
      <c r="BQ8" s="208">
        <v>1901</v>
      </c>
      <c r="BR8" s="208">
        <v>1740</v>
      </c>
      <c r="BS8" s="209">
        <v>1635</v>
      </c>
      <c r="BT8" s="208" t="s">
        <v>386</v>
      </c>
      <c r="BU8" s="208" t="s">
        <v>386</v>
      </c>
      <c r="BV8" s="208" t="s">
        <v>386</v>
      </c>
      <c r="BW8" s="208" t="s">
        <v>386</v>
      </c>
      <c r="BX8" s="209" t="s">
        <v>386</v>
      </c>
      <c r="BY8" s="208">
        <v>1883</v>
      </c>
      <c r="BZ8" s="208">
        <v>1470</v>
      </c>
      <c r="CA8" s="208">
        <v>2393</v>
      </c>
      <c r="CB8" s="208">
        <v>1656</v>
      </c>
      <c r="CC8" s="208">
        <v>2023</v>
      </c>
      <c r="CD8" s="207" t="s">
        <v>386</v>
      </c>
      <c r="CE8" s="208" t="s">
        <v>386</v>
      </c>
      <c r="CF8" s="208" t="s">
        <v>386</v>
      </c>
      <c r="CG8" s="208" t="s">
        <v>386</v>
      </c>
      <c r="CH8" s="209" t="s">
        <v>386</v>
      </c>
    </row>
    <row r="9" spans="1:86" x14ac:dyDescent="0.25">
      <c r="A9" s="91" t="s">
        <v>39</v>
      </c>
      <c r="B9" s="207">
        <v>31.48</v>
      </c>
      <c r="C9" s="208">
        <v>29.4</v>
      </c>
      <c r="D9" s="208">
        <v>45.3</v>
      </c>
      <c r="E9" s="208">
        <v>57.24</v>
      </c>
      <c r="F9" s="208">
        <v>33.120000000000005</v>
      </c>
      <c r="G9" s="207">
        <v>15.2</v>
      </c>
      <c r="H9" s="208">
        <v>17</v>
      </c>
      <c r="I9" s="208">
        <v>17</v>
      </c>
      <c r="J9" s="208">
        <v>33</v>
      </c>
      <c r="K9" s="209">
        <v>16</v>
      </c>
      <c r="L9" s="208">
        <v>62.64</v>
      </c>
      <c r="M9" s="208">
        <v>62.2</v>
      </c>
      <c r="N9" s="208">
        <v>60.96</v>
      </c>
      <c r="O9" s="208">
        <v>123.22</v>
      </c>
      <c r="P9" s="208">
        <v>55.279999999999994</v>
      </c>
      <c r="Q9" s="207">
        <v>36.24</v>
      </c>
      <c r="R9" s="208">
        <v>35.800000000000004</v>
      </c>
      <c r="S9" s="208">
        <v>35.36</v>
      </c>
      <c r="T9" s="208">
        <v>71.36</v>
      </c>
      <c r="U9" s="209">
        <v>47.88</v>
      </c>
      <c r="V9" s="208">
        <v>44</v>
      </c>
      <c r="W9" s="208">
        <v>29.6</v>
      </c>
      <c r="X9" s="208">
        <v>87</v>
      </c>
      <c r="Y9" s="208">
        <v>53.84</v>
      </c>
      <c r="Z9" s="208">
        <v>43.79</v>
      </c>
      <c r="AA9" s="207">
        <v>17.600000000000001</v>
      </c>
      <c r="AB9" s="208">
        <v>16.8</v>
      </c>
      <c r="AC9" s="208">
        <v>18.41</v>
      </c>
      <c r="AD9" s="208">
        <v>29</v>
      </c>
      <c r="AE9" s="208">
        <v>19.16</v>
      </c>
      <c r="AF9" s="229">
        <v>24</v>
      </c>
      <c r="AG9" s="220">
        <v>20.8</v>
      </c>
      <c r="AH9" s="220">
        <v>25</v>
      </c>
      <c r="AI9" s="220">
        <v>61</v>
      </c>
      <c r="AJ9" s="224">
        <v>53</v>
      </c>
      <c r="AK9" s="208">
        <v>1182.6000000000001</v>
      </c>
      <c r="AL9" s="208">
        <v>1019.8</v>
      </c>
      <c r="AM9" s="208">
        <v>1606.19</v>
      </c>
      <c r="AN9" s="208">
        <v>2328.48</v>
      </c>
      <c r="AO9" s="208">
        <v>1525.36</v>
      </c>
      <c r="AP9" s="207">
        <v>1593.21</v>
      </c>
      <c r="AQ9" s="208">
        <v>1121.92</v>
      </c>
      <c r="AR9" s="208">
        <v>1606.98</v>
      </c>
      <c r="AS9" s="208">
        <v>2252.5700000000002</v>
      </c>
      <c r="AT9" s="209">
        <v>1169.3599999999999</v>
      </c>
      <c r="AU9" s="208">
        <v>1434.88</v>
      </c>
      <c r="AV9" s="208">
        <v>1343.2</v>
      </c>
      <c r="AW9" s="208">
        <v>1902.7</v>
      </c>
      <c r="AX9" s="208">
        <v>2762.2</v>
      </c>
      <c r="AY9" s="208">
        <v>1397.32</v>
      </c>
      <c r="AZ9" s="207">
        <v>1104.8</v>
      </c>
      <c r="BA9" s="208">
        <v>1104.8</v>
      </c>
      <c r="BB9" s="208">
        <v>1020</v>
      </c>
      <c r="BC9" s="208">
        <v>1488</v>
      </c>
      <c r="BD9" s="209">
        <v>1113</v>
      </c>
      <c r="BE9" s="208">
        <v>758.4</v>
      </c>
      <c r="BF9" s="208">
        <v>758.4</v>
      </c>
      <c r="BG9" s="208">
        <v>1118</v>
      </c>
      <c r="BH9" s="208">
        <v>1163.28</v>
      </c>
      <c r="BI9" s="208">
        <v>947</v>
      </c>
      <c r="BJ9" s="207">
        <v>615.20000000000005</v>
      </c>
      <c r="BK9" s="208">
        <v>615.20000000000005</v>
      </c>
      <c r="BL9" s="208">
        <v>615.20000000000005</v>
      </c>
      <c r="BM9" s="208">
        <v>765</v>
      </c>
      <c r="BN9" s="209">
        <v>615.20000000000005</v>
      </c>
      <c r="BO9" s="208" t="s">
        <v>386</v>
      </c>
      <c r="BP9" s="208" t="s">
        <v>386</v>
      </c>
      <c r="BQ9" s="208" t="s">
        <v>386</v>
      </c>
      <c r="BR9" s="208" t="s">
        <v>386</v>
      </c>
      <c r="BS9" s="209" t="s">
        <v>386</v>
      </c>
      <c r="BT9" s="208" t="s">
        <v>386</v>
      </c>
      <c r="BU9" s="208" t="s">
        <v>386</v>
      </c>
      <c r="BV9" s="208" t="s">
        <v>386</v>
      </c>
      <c r="BW9" s="208" t="s">
        <v>386</v>
      </c>
      <c r="BX9" s="209" t="s">
        <v>386</v>
      </c>
      <c r="BY9" s="208">
        <v>1037</v>
      </c>
      <c r="BZ9" s="208">
        <v>967.2</v>
      </c>
      <c r="CA9" s="208">
        <v>1460</v>
      </c>
      <c r="CB9" s="208">
        <v>2093</v>
      </c>
      <c r="CC9" s="208">
        <v>1059</v>
      </c>
      <c r="CD9" s="207">
        <v>1719</v>
      </c>
      <c r="CE9" s="208">
        <v>1105</v>
      </c>
      <c r="CF9" s="208">
        <v>860</v>
      </c>
      <c r="CG9" s="208">
        <v>1862</v>
      </c>
      <c r="CH9" s="209">
        <v>2709</v>
      </c>
    </row>
    <row r="10" spans="1:86" x14ac:dyDescent="0.25">
      <c r="A10" s="91" t="s">
        <v>40</v>
      </c>
      <c r="B10" s="207">
        <v>56.76</v>
      </c>
      <c r="C10" s="208">
        <v>49.13</v>
      </c>
      <c r="D10" s="208">
        <v>58.59</v>
      </c>
      <c r="E10" s="208">
        <v>41.24</v>
      </c>
      <c r="F10" s="208">
        <v>56.54</v>
      </c>
      <c r="G10" s="207">
        <v>25.6</v>
      </c>
      <c r="H10" s="208">
        <v>26.46</v>
      </c>
      <c r="I10" s="208">
        <v>32.729999999999997</v>
      </c>
      <c r="J10" s="208">
        <v>26.6</v>
      </c>
      <c r="K10" s="209">
        <v>23.79</v>
      </c>
      <c r="L10" s="208">
        <v>105</v>
      </c>
      <c r="M10" s="208">
        <v>48</v>
      </c>
      <c r="N10" s="208">
        <v>87</v>
      </c>
      <c r="O10" s="208">
        <v>120</v>
      </c>
      <c r="P10" s="208">
        <v>107</v>
      </c>
      <c r="Q10" s="207">
        <v>85.61</v>
      </c>
      <c r="R10" s="208">
        <v>68.149999999999991</v>
      </c>
      <c r="S10" s="208">
        <v>78.05</v>
      </c>
      <c r="T10" s="208">
        <v>59.86</v>
      </c>
      <c r="U10" s="209">
        <v>65.680000000000007</v>
      </c>
      <c r="V10" s="208">
        <v>95.35</v>
      </c>
      <c r="W10" s="208">
        <v>91.87</v>
      </c>
      <c r="X10" s="208">
        <v>92.57</v>
      </c>
      <c r="Y10" s="208">
        <v>76.13</v>
      </c>
      <c r="Z10" s="208">
        <v>85.7</v>
      </c>
      <c r="AA10" s="207">
        <v>27.07</v>
      </c>
      <c r="AB10" s="208">
        <v>21.84</v>
      </c>
      <c r="AC10" s="208">
        <v>28.15</v>
      </c>
      <c r="AD10" s="208">
        <v>18.21</v>
      </c>
      <c r="AE10" s="208">
        <v>22.32</v>
      </c>
      <c r="AF10" s="229">
        <v>47</v>
      </c>
      <c r="AG10" s="220">
        <v>20.8</v>
      </c>
      <c r="AH10" s="220">
        <v>42</v>
      </c>
      <c r="AI10" s="220">
        <v>61</v>
      </c>
      <c r="AJ10" s="224">
        <v>55</v>
      </c>
      <c r="AK10" s="208">
        <v>2110.5</v>
      </c>
      <c r="AL10" s="208">
        <v>1698.8200000000002</v>
      </c>
      <c r="AM10" s="208">
        <v>1985.23</v>
      </c>
      <c r="AN10" s="208">
        <v>1738.6000000000001</v>
      </c>
      <c r="AO10" s="208">
        <v>1820.1</v>
      </c>
      <c r="AP10" s="207">
        <v>1816.19</v>
      </c>
      <c r="AQ10" s="208">
        <v>1579.22</v>
      </c>
      <c r="AR10" s="208">
        <v>1674.75</v>
      </c>
      <c r="AS10" s="208">
        <v>1469.3500000000001</v>
      </c>
      <c r="AT10" s="209">
        <v>1449.8</v>
      </c>
      <c r="AU10" s="208">
        <v>2375.88</v>
      </c>
      <c r="AV10" s="208">
        <v>2411.6</v>
      </c>
      <c r="AW10" s="208">
        <v>2241.64</v>
      </c>
      <c r="AX10" s="208">
        <v>2152.75</v>
      </c>
      <c r="AY10" s="208">
        <v>2111.81</v>
      </c>
      <c r="AZ10" s="207">
        <v>1649</v>
      </c>
      <c r="BA10" s="208">
        <v>1360</v>
      </c>
      <c r="BB10" s="208">
        <v>1202</v>
      </c>
      <c r="BC10" s="208">
        <v>1083.6400000000001</v>
      </c>
      <c r="BD10" s="209">
        <v>1206.73</v>
      </c>
      <c r="BE10" s="208">
        <v>900</v>
      </c>
      <c r="BF10" s="208">
        <v>565</v>
      </c>
      <c r="BG10" s="208">
        <v>997</v>
      </c>
      <c r="BH10" s="208">
        <v>1072</v>
      </c>
      <c r="BI10" s="208">
        <v>1015</v>
      </c>
      <c r="BJ10" s="207">
        <v>752</v>
      </c>
      <c r="BK10" s="208">
        <v>719</v>
      </c>
      <c r="BL10" s="208">
        <v>567</v>
      </c>
      <c r="BM10" s="208">
        <v>558</v>
      </c>
      <c r="BN10" s="209">
        <v>812</v>
      </c>
      <c r="BO10" s="208">
        <v>1648</v>
      </c>
      <c r="BP10" s="208">
        <v>1324</v>
      </c>
      <c r="BQ10" s="208">
        <v>1576</v>
      </c>
      <c r="BR10" s="208">
        <v>1388</v>
      </c>
      <c r="BS10" s="209">
        <v>1471</v>
      </c>
      <c r="BT10" s="208">
        <v>1965</v>
      </c>
      <c r="BU10" s="208">
        <v>1579</v>
      </c>
      <c r="BV10" s="208">
        <v>1880</v>
      </c>
      <c r="BW10" s="208">
        <v>1656</v>
      </c>
      <c r="BX10" s="209">
        <v>1755</v>
      </c>
      <c r="BY10" s="208" t="s">
        <v>386</v>
      </c>
      <c r="BZ10" s="208" t="s">
        <v>386</v>
      </c>
      <c r="CA10" s="208" t="s">
        <v>386</v>
      </c>
      <c r="CB10" s="208" t="s">
        <v>386</v>
      </c>
      <c r="CC10" s="208" t="s">
        <v>386</v>
      </c>
      <c r="CD10" s="207">
        <v>1719</v>
      </c>
      <c r="CE10" s="208">
        <v>1830</v>
      </c>
      <c r="CF10" s="208">
        <v>1336</v>
      </c>
      <c r="CG10" s="208">
        <v>2193</v>
      </c>
      <c r="CH10" s="209">
        <v>2111</v>
      </c>
    </row>
    <row r="11" spans="1:86" x14ac:dyDescent="0.25">
      <c r="A11" s="91" t="s">
        <v>41</v>
      </c>
      <c r="B11" s="207">
        <v>49.839999999999996</v>
      </c>
      <c r="C11" s="208">
        <v>38</v>
      </c>
      <c r="D11" s="208">
        <v>54.01</v>
      </c>
      <c r="E11" s="208">
        <v>58.6</v>
      </c>
      <c r="F11" s="208">
        <v>64.740000000000009</v>
      </c>
      <c r="G11" s="207">
        <v>27.14</v>
      </c>
      <c r="H11" s="208">
        <v>28.4</v>
      </c>
      <c r="I11" s="208">
        <v>31.110000000000003</v>
      </c>
      <c r="J11" s="208">
        <v>44.2</v>
      </c>
      <c r="K11" s="209">
        <v>40.4</v>
      </c>
      <c r="L11" s="208">
        <v>98.99</v>
      </c>
      <c r="M11" s="208">
        <v>92.350000000000009</v>
      </c>
      <c r="N11" s="208">
        <v>105.94</v>
      </c>
      <c r="O11" s="208">
        <v>159.76</v>
      </c>
      <c r="P11" s="208">
        <v>145.75</v>
      </c>
      <c r="Q11" s="207">
        <v>73.72</v>
      </c>
      <c r="R11" s="208">
        <v>53.650000000000006</v>
      </c>
      <c r="S11" s="208">
        <v>83.289999999999992</v>
      </c>
      <c r="T11" s="208">
        <v>85.460000000000008</v>
      </c>
      <c r="U11" s="209">
        <v>67.010000000000005</v>
      </c>
      <c r="V11" s="208">
        <v>53.7</v>
      </c>
      <c r="W11" s="208">
        <v>49.6</v>
      </c>
      <c r="X11" s="208">
        <v>72.37</v>
      </c>
      <c r="Y11" s="208">
        <v>97.6</v>
      </c>
      <c r="Z11" s="208">
        <v>83</v>
      </c>
      <c r="AA11" s="207">
        <v>16.75</v>
      </c>
      <c r="AB11" s="208">
        <v>13.6</v>
      </c>
      <c r="AC11" s="208">
        <v>13.9</v>
      </c>
      <c r="AD11" s="208">
        <v>18.7</v>
      </c>
      <c r="AE11" s="208">
        <v>15.59</v>
      </c>
      <c r="AF11" s="229">
        <v>39</v>
      </c>
      <c r="AG11" s="220">
        <v>20.8</v>
      </c>
      <c r="AH11" s="220">
        <v>48</v>
      </c>
      <c r="AI11" s="220">
        <v>79</v>
      </c>
      <c r="AJ11" s="224">
        <v>73</v>
      </c>
      <c r="AK11" s="208">
        <v>1877.17</v>
      </c>
      <c r="AL11" s="208">
        <v>1343.3</v>
      </c>
      <c r="AM11" s="208">
        <v>1732.69</v>
      </c>
      <c r="AN11" s="208">
        <v>2356.06</v>
      </c>
      <c r="AO11" s="208">
        <v>2183.19</v>
      </c>
      <c r="AP11" s="207">
        <v>1928.54</v>
      </c>
      <c r="AQ11" s="208">
        <v>1274.45</v>
      </c>
      <c r="AR11" s="208">
        <v>2533.3599999999997</v>
      </c>
      <c r="AS11" s="208">
        <v>2194.27</v>
      </c>
      <c r="AT11" s="209">
        <v>1680.1699999999998</v>
      </c>
      <c r="AU11" s="208">
        <v>2362.8000000000002</v>
      </c>
      <c r="AV11" s="208">
        <v>1701.6</v>
      </c>
      <c r="AW11" s="208">
        <v>2585.62</v>
      </c>
      <c r="AX11" s="208">
        <v>2884.3</v>
      </c>
      <c r="AY11" s="208">
        <v>2843.82</v>
      </c>
      <c r="AZ11" s="207">
        <v>1640</v>
      </c>
      <c r="BA11" s="208">
        <v>853.6</v>
      </c>
      <c r="BB11" s="208">
        <v>1386</v>
      </c>
      <c r="BC11" s="208">
        <v>1554</v>
      </c>
      <c r="BD11" s="209">
        <v>1576</v>
      </c>
      <c r="BE11" s="208">
        <v>970</v>
      </c>
      <c r="BF11" s="208">
        <v>597.6</v>
      </c>
      <c r="BG11" s="208">
        <v>1001</v>
      </c>
      <c r="BH11" s="208">
        <v>1022</v>
      </c>
      <c r="BI11" s="208">
        <v>988</v>
      </c>
      <c r="BJ11" s="207" t="s">
        <v>386</v>
      </c>
      <c r="BK11" s="208" t="s">
        <v>386</v>
      </c>
      <c r="BL11" s="208" t="s">
        <v>386</v>
      </c>
      <c r="BM11" s="208" t="s">
        <v>386</v>
      </c>
      <c r="BN11" s="209" t="s">
        <v>386</v>
      </c>
      <c r="BO11" s="208" t="s">
        <v>386</v>
      </c>
      <c r="BP11" s="208" t="s">
        <v>386</v>
      </c>
      <c r="BQ11" s="208" t="s">
        <v>386</v>
      </c>
      <c r="BR11" s="208" t="s">
        <v>386</v>
      </c>
      <c r="BS11" s="209" t="s">
        <v>386</v>
      </c>
      <c r="BT11" s="208" t="s">
        <v>386</v>
      </c>
      <c r="BU11" s="208" t="s">
        <v>386</v>
      </c>
      <c r="BV11" s="208" t="s">
        <v>386</v>
      </c>
      <c r="BW11" s="208" t="s">
        <v>386</v>
      </c>
      <c r="BX11" s="209" t="s">
        <v>386</v>
      </c>
      <c r="BY11" s="208" t="s">
        <v>386</v>
      </c>
      <c r="BZ11" s="208" t="s">
        <v>386</v>
      </c>
      <c r="CA11" s="208" t="s">
        <v>386</v>
      </c>
      <c r="CB11" s="208" t="s">
        <v>386</v>
      </c>
      <c r="CC11" s="208" t="s">
        <v>386</v>
      </c>
      <c r="CD11" s="207" t="s">
        <v>386</v>
      </c>
      <c r="CE11" s="208" t="s">
        <v>386</v>
      </c>
      <c r="CF11" s="208" t="s">
        <v>386</v>
      </c>
      <c r="CG11" s="208" t="s">
        <v>386</v>
      </c>
      <c r="CH11" s="209" t="s">
        <v>386</v>
      </c>
    </row>
    <row r="12" spans="1:86" x14ac:dyDescent="0.25">
      <c r="A12" s="91" t="s">
        <v>42</v>
      </c>
      <c r="B12" s="207">
        <v>57.24</v>
      </c>
      <c r="C12" s="208">
        <v>61.88</v>
      </c>
      <c r="D12" s="208">
        <v>70.410000000000011</v>
      </c>
      <c r="E12" s="208">
        <v>72.06</v>
      </c>
      <c r="F12" s="208">
        <v>70.319999999999993</v>
      </c>
      <c r="G12" s="207">
        <v>37.57</v>
      </c>
      <c r="H12" s="208">
        <v>36.589999999999996</v>
      </c>
      <c r="I12" s="208">
        <v>48.35</v>
      </c>
      <c r="J12" s="208">
        <v>42.31</v>
      </c>
      <c r="K12" s="209">
        <v>44.17</v>
      </c>
      <c r="L12" s="208">
        <v>177.79</v>
      </c>
      <c r="M12" s="208">
        <v>155.14000000000001</v>
      </c>
      <c r="N12" s="208">
        <v>192.2</v>
      </c>
      <c r="O12" s="208">
        <v>179.21</v>
      </c>
      <c r="P12" s="208">
        <v>185.76000000000002</v>
      </c>
      <c r="Q12" s="207">
        <v>81.66</v>
      </c>
      <c r="R12" s="208">
        <v>86.29</v>
      </c>
      <c r="S12" s="208">
        <v>81.02</v>
      </c>
      <c r="T12" s="208">
        <v>88.740000000000009</v>
      </c>
      <c r="U12" s="209">
        <v>78.3</v>
      </c>
      <c r="V12" s="208">
        <v>70.400000000000006</v>
      </c>
      <c r="W12" s="208">
        <v>80.47</v>
      </c>
      <c r="X12" s="208">
        <v>83</v>
      </c>
      <c r="Y12" s="208">
        <v>77</v>
      </c>
      <c r="Z12" s="208">
        <v>107.86</v>
      </c>
      <c r="AA12" s="207">
        <v>25</v>
      </c>
      <c r="AB12" s="208">
        <v>13</v>
      </c>
      <c r="AC12" s="208">
        <v>30</v>
      </c>
      <c r="AD12" s="208">
        <v>14</v>
      </c>
      <c r="AE12" s="208">
        <v>28</v>
      </c>
      <c r="AF12" s="229">
        <v>72</v>
      </c>
      <c r="AG12" s="220">
        <v>57</v>
      </c>
      <c r="AH12" s="220">
        <v>88</v>
      </c>
      <c r="AI12" s="220">
        <v>88</v>
      </c>
      <c r="AJ12" s="224">
        <v>92</v>
      </c>
      <c r="AK12" s="208">
        <v>1488</v>
      </c>
      <c r="AL12" s="208">
        <v>1280.8</v>
      </c>
      <c r="AM12" s="208">
        <v>2058</v>
      </c>
      <c r="AN12" s="208">
        <v>2619.7600000000002</v>
      </c>
      <c r="AO12" s="208">
        <v>2615.33</v>
      </c>
      <c r="AP12" s="207">
        <v>2142.2199999999998</v>
      </c>
      <c r="AQ12" s="208">
        <v>2774.21</v>
      </c>
      <c r="AR12" s="208">
        <v>2698.91</v>
      </c>
      <c r="AS12" s="208">
        <v>2695.27</v>
      </c>
      <c r="AT12" s="209">
        <v>1810.28</v>
      </c>
      <c r="AU12" s="208">
        <v>2727</v>
      </c>
      <c r="AV12" s="208">
        <v>1462.4</v>
      </c>
      <c r="AW12" s="208">
        <v>2246</v>
      </c>
      <c r="AX12" s="208">
        <v>3424</v>
      </c>
      <c r="AY12" s="208">
        <v>1627</v>
      </c>
      <c r="AZ12" s="207" t="s">
        <v>386</v>
      </c>
      <c r="BA12" s="208" t="s">
        <v>386</v>
      </c>
      <c r="BB12" s="208" t="s">
        <v>386</v>
      </c>
      <c r="BC12" s="208" t="s">
        <v>386</v>
      </c>
      <c r="BD12" s="209" t="s">
        <v>386</v>
      </c>
      <c r="BE12" s="208" t="s">
        <v>386</v>
      </c>
      <c r="BF12" s="208" t="s">
        <v>386</v>
      </c>
      <c r="BG12" s="208" t="s">
        <v>386</v>
      </c>
      <c r="BH12" s="208" t="s">
        <v>386</v>
      </c>
      <c r="BI12" s="208" t="s">
        <v>386</v>
      </c>
      <c r="BJ12" s="207" t="s">
        <v>386</v>
      </c>
      <c r="BK12" s="208" t="s">
        <v>386</v>
      </c>
      <c r="BL12" s="208" t="s">
        <v>386</v>
      </c>
      <c r="BM12" s="208" t="s">
        <v>386</v>
      </c>
      <c r="BN12" s="209" t="s">
        <v>386</v>
      </c>
      <c r="BO12" s="208" t="s">
        <v>386</v>
      </c>
      <c r="BP12" s="208" t="s">
        <v>386</v>
      </c>
      <c r="BQ12" s="208" t="s">
        <v>386</v>
      </c>
      <c r="BR12" s="208" t="s">
        <v>386</v>
      </c>
      <c r="BS12" s="209" t="s">
        <v>386</v>
      </c>
      <c r="BT12" s="208" t="s">
        <v>386</v>
      </c>
      <c r="BU12" s="208" t="s">
        <v>386</v>
      </c>
      <c r="BV12" s="208" t="s">
        <v>386</v>
      </c>
      <c r="BW12" s="208" t="s">
        <v>386</v>
      </c>
      <c r="BX12" s="209" t="s">
        <v>386</v>
      </c>
      <c r="BY12" s="208" t="s">
        <v>386</v>
      </c>
      <c r="BZ12" s="208" t="s">
        <v>386</v>
      </c>
      <c r="CA12" s="208" t="s">
        <v>386</v>
      </c>
      <c r="CB12" s="208" t="s">
        <v>386</v>
      </c>
      <c r="CC12" s="208" t="s">
        <v>386</v>
      </c>
      <c r="CD12" s="207" t="s">
        <v>386</v>
      </c>
      <c r="CE12" s="208" t="s">
        <v>386</v>
      </c>
      <c r="CF12" s="208" t="s">
        <v>386</v>
      </c>
      <c r="CG12" s="208" t="s">
        <v>386</v>
      </c>
      <c r="CH12" s="209" t="s">
        <v>386</v>
      </c>
    </row>
    <row r="13" spans="1:86" x14ac:dyDescent="0.25">
      <c r="A13" s="91" t="s">
        <v>43</v>
      </c>
      <c r="B13" s="207">
        <v>68.91</v>
      </c>
      <c r="C13" s="208">
        <v>50.55</v>
      </c>
      <c r="D13" s="208">
        <v>69.13000000000001</v>
      </c>
      <c r="E13" s="208">
        <v>56.06</v>
      </c>
      <c r="F13" s="208">
        <v>74.05</v>
      </c>
      <c r="G13" s="207">
        <v>37</v>
      </c>
      <c r="H13" s="208">
        <v>33.090000000000003</v>
      </c>
      <c r="I13" s="208">
        <v>42.47</v>
      </c>
      <c r="J13" s="208">
        <v>26</v>
      </c>
      <c r="K13" s="209">
        <v>44.419999999999995</v>
      </c>
      <c r="L13" s="208">
        <v>123.28</v>
      </c>
      <c r="M13" s="208">
        <v>127.51</v>
      </c>
      <c r="N13" s="208">
        <v>146.89000000000001</v>
      </c>
      <c r="O13" s="208">
        <v>92.820000000000007</v>
      </c>
      <c r="P13" s="208">
        <v>144.11000000000001</v>
      </c>
      <c r="Q13" s="207">
        <v>90.49</v>
      </c>
      <c r="R13" s="208">
        <v>61</v>
      </c>
      <c r="S13" s="208">
        <v>88.07</v>
      </c>
      <c r="T13" s="208">
        <v>74.740000000000009</v>
      </c>
      <c r="U13" s="209">
        <v>76.28</v>
      </c>
      <c r="V13" s="208">
        <v>104</v>
      </c>
      <c r="W13" s="208">
        <v>62.4</v>
      </c>
      <c r="X13" s="208">
        <v>128</v>
      </c>
      <c r="Y13" s="208">
        <v>89</v>
      </c>
      <c r="Z13" s="208">
        <v>113</v>
      </c>
      <c r="AA13" s="207">
        <v>26.47</v>
      </c>
      <c r="AB13" s="208">
        <v>18.399999999999999</v>
      </c>
      <c r="AC13" s="208">
        <v>34.86</v>
      </c>
      <c r="AD13" s="208">
        <v>18.399999999999999</v>
      </c>
      <c r="AE13" s="208">
        <v>27</v>
      </c>
      <c r="AF13" s="362" t="s">
        <v>386</v>
      </c>
      <c r="AG13" s="363" t="s">
        <v>386</v>
      </c>
      <c r="AH13" s="363" t="s">
        <v>386</v>
      </c>
      <c r="AI13" s="363" t="s">
        <v>386</v>
      </c>
      <c r="AJ13" s="364" t="s">
        <v>386</v>
      </c>
      <c r="AK13" s="208">
        <v>2378.09</v>
      </c>
      <c r="AL13" s="208">
        <v>1942.33</v>
      </c>
      <c r="AM13" s="208">
        <v>2408.38</v>
      </c>
      <c r="AN13" s="208">
        <v>2085.13</v>
      </c>
      <c r="AO13" s="208">
        <v>2019.3300000000002</v>
      </c>
      <c r="AP13" s="207">
        <v>2527.4499999999998</v>
      </c>
      <c r="AQ13" s="208">
        <v>2508.0099999999998</v>
      </c>
      <c r="AR13" s="208">
        <v>2662.51</v>
      </c>
      <c r="AS13" s="208">
        <v>2277.42</v>
      </c>
      <c r="AT13" s="209">
        <v>2221.9899999999998</v>
      </c>
      <c r="AU13" s="208">
        <v>3413.18</v>
      </c>
      <c r="AV13" s="208">
        <v>2014.4</v>
      </c>
      <c r="AW13" s="208">
        <v>3284.39</v>
      </c>
      <c r="AX13" s="208">
        <v>2654.18</v>
      </c>
      <c r="AY13" s="208">
        <v>3104.4</v>
      </c>
      <c r="AZ13" s="207">
        <v>2369</v>
      </c>
      <c r="BA13" s="208">
        <v>968</v>
      </c>
      <c r="BB13" s="208">
        <v>1761</v>
      </c>
      <c r="BC13" s="208">
        <v>1430</v>
      </c>
      <c r="BD13" s="209">
        <v>1673</v>
      </c>
      <c r="BE13" s="208" t="s">
        <v>386</v>
      </c>
      <c r="BF13" s="208" t="s">
        <v>386</v>
      </c>
      <c r="BG13" s="208" t="s">
        <v>386</v>
      </c>
      <c r="BH13" s="208" t="s">
        <v>386</v>
      </c>
      <c r="BI13" s="208" t="s">
        <v>386</v>
      </c>
      <c r="BJ13" s="207">
        <v>819</v>
      </c>
      <c r="BK13" s="208">
        <v>794</v>
      </c>
      <c r="BL13" s="208">
        <v>696</v>
      </c>
      <c r="BM13" s="208">
        <v>696</v>
      </c>
      <c r="BN13" s="209">
        <v>696</v>
      </c>
      <c r="BO13" s="208" t="s">
        <v>386</v>
      </c>
      <c r="BP13" s="208" t="s">
        <v>386</v>
      </c>
      <c r="BQ13" s="208" t="s">
        <v>386</v>
      </c>
      <c r="BR13" s="208" t="s">
        <v>386</v>
      </c>
      <c r="BS13" s="209" t="s">
        <v>386</v>
      </c>
      <c r="BT13" s="208" t="s">
        <v>386</v>
      </c>
      <c r="BU13" s="208" t="s">
        <v>386</v>
      </c>
      <c r="BV13" s="208" t="s">
        <v>386</v>
      </c>
      <c r="BW13" s="208" t="s">
        <v>386</v>
      </c>
      <c r="BX13" s="209" t="s">
        <v>386</v>
      </c>
      <c r="BY13" s="208">
        <v>2467</v>
      </c>
      <c r="BZ13" s="208">
        <v>1411</v>
      </c>
      <c r="CA13" s="208">
        <v>2520</v>
      </c>
      <c r="CB13" s="208">
        <v>2011</v>
      </c>
      <c r="CC13" s="208">
        <v>2352</v>
      </c>
      <c r="CD13" s="207" t="s">
        <v>386</v>
      </c>
      <c r="CE13" s="208" t="s">
        <v>386</v>
      </c>
      <c r="CF13" s="208" t="s">
        <v>386</v>
      </c>
      <c r="CG13" s="208" t="s">
        <v>386</v>
      </c>
      <c r="CH13" s="209" t="s">
        <v>386</v>
      </c>
    </row>
    <row r="14" spans="1:86" x14ac:dyDescent="0.25">
      <c r="A14" s="91" t="s">
        <v>44</v>
      </c>
      <c r="B14" s="207">
        <v>62.120000000000005</v>
      </c>
      <c r="C14" s="208">
        <v>42.2</v>
      </c>
      <c r="D14" s="208">
        <v>58.29</v>
      </c>
      <c r="E14" s="208">
        <v>51.47</v>
      </c>
      <c r="F14" s="208">
        <v>60.18</v>
      </c>
      <c r="G14" s="207">
        <v>44.42</v>
      </c>
      <c r="H14" s="208">
        <v>36.08</v>
      </c>
      <c r="I14" s="208">
        <v>44.760000000000005</v>
      </c>
      <c r="J14" s="208">
        <v>47.19</v>
      </c>
      <c r="K14" s="209">
        <v>41.47</v>
      </c>
      <c r="L14" s="208">
        <v>180.37</v>
      </c>
      <c r="M14" s="208">
        <v>138.47999999999999</v>
      </c>
      <c r="N14" s="208">
        <v>177.17</v>
      </c>
      <c r="O14" s="208">
        <v>187.79999999999998</v>
      </c>
      <c r="P14" s="208">
        <v>189.93</v>
      </c>
      <c r="Q14" s="207">
        <v>76</v>
      </c>
      <c r="R14" s="208">
        <v>55.75</v>
      </c>
      <c r="S14" s="208">
        <v>87.43</v>
      </c>
      <c r="T14" s="208">
        <v>72.78</v>
      </c>
      <c r="U14" s="209">
        <v>76.650000000000006</v>
      </c>
      <c r="V14" s="208">
        <v>78.19</v>
      </c>
      <c r="W14" s="208">
        <v>56.8</v>
      </c>
      <c r="X14" s="208">
        <v>76.12</v>
      </c>
      <c r="Y14" s="208">
        <v>54.4</v>
      </c>
      <c r="Z14" s="208">
        <v>83.35</v>
      </c>
      <c r="AA14" s="207">
        <v>18</v>
      </c>
      <c r="AB14" s="208">
        <v>9.6</v>
      </c>
      <c r="AC14" s="208">
        <v>20</v>
      </c>
      <c r="AD14" s="208">
        <v>16</v>
      </c>
      <c r="AE14" s="208">
        <v>20</v>
      </c>
      <c r="AF14" s="229">
        <v>74</v>
      </c>
      <c r="AG14" s="220">
        <v>52</v>
      </c>
      <c r="AH14" s="220">
        <v>82</v>
      </c>
      <c r="AI14" s="220">
        <v>93</v>
      </c>
      <c r="AJ14" s="224">
        <v>95</v>
      </c>
      <c r="AK14" s="208" t="s">
        <v>386</v>
      </c>
      <c r="AL14" s="208" t="s">
        <v>386</v>
      </c>
      <c r="AM14" s="208" t="s">
        <v>386</v>
      </c>
      <c r="AN14" s="208" t="s">
        <v>386</v>
      </c>
      <c r="AO14" s="208" t="s">
        <v>386</v>
      </c>
      <c r="AP14" s="207">
        <v>2069.7399999999998</v>
      </c>
      <c r="AQ14" s="208">
        <v>1270.45</v>
      </c>
      <c r="AR14" s="208">
        <v>2658.27</v>
      </c>
      <c r="AS14" s="208">
        <v>2198.2399999999998</v>
      </c>
      <c r="AT14" s="209">
        <v>1750.58</v>
      </c>
      <c r="AU14" s="208">
        <v>2727</v>
      </c>
      <c r="AV14" s="208">
        <v>1481.6</v>
      </c>
      <c r="AW14" s="208">
        <v>1899</v>
      </c>
      <c r="AX14" s="208">
        <v>2916</v>
      </c>
      <c r="AY14" s="208">
        <v>2049.8000000000002</v>
      </c>
      <c r="AZ14" s="207" t="s">
        <v>386</v>
      </c>
      <c r="BA14" s="208" t="s">
        <v>386</v>
      </c>
      <c r="BB14" s="208" t="s">
        <v>386</v>
      </c>
      <c r="BC14" s="208" t="s">
        <v>386</v>
      </c>
      <c r="BD14" s="209" t="s">
        <v>386</v>
      </c>
      <c r="BE14" s="208" t="s">
        <v>386</v>
      </c>
      <c r="BF14" s="208" t="s">
        <v>386</v>
      </c>
      <c r="BG14" s="208" t="s">
        <v>386</v>
      </c>
      <c r="BH14" s="208" t="s">
        <v>386</v>
      </c>
      <c r="BI14" s="208" t="s">
        <v>386</v>
      </c>
      <c r="BJ14" s="207">
        <v>622.4</v>
      </c>
      <c r="BK14" s="208">
        <v>609.6</v>
      </c>
      <c r="BL14" s="208">
        <v>592.79999999999995</v>
      </c>
      <c r="BM14" s="208">
        <v>661</v>
      </c>
      <c r="BN14" s="209">
        <v>858</v>
      </c>
      <c r="BO14" s="208" t="s">
        <v>386</v>
      </c>
      <c r="BP14" s="208" t="s">
        <v>386</v>
      </c>
      <c r="BQ14" s="208" t="s">
        <v>386</v>
      </c>
      <c r="BR14" s="208" t="s">
        <v>386</v>
      </c>
      <c r="BS14" s="209" t="s">
        <v>386</v>
      </c>
      <c r="BT14" s="208" t="s">
        <v>386</v>
      </c>
      <c r="BU14" s="208" t="s">
        <v>386</v>
      </c>
      <c r="BV14" s="208" t="s">
        <v>386</v>
      </c>
      <c r="BW14" s="208" t="s">
        <v>386</v>
      </c>
      <c r="BX14" s="209" t="s">
        <v>386</v>
      </c>
      <c r="BY14" s="208" t="s">
        <v>386</v>
      </c>
      <c r="BZ14" s="208" t="s">
        <v>386</v>
      </c>
      <c r="CA14" s="208" t="s">
        <v>386</v>
      </c>
      <c r="CB14" s="208" t="s">
        <v>386</v>
      </c>
      <c r="CC14" s="208" t="s">
        <v>386</v>
      </c>
      <c r="CD14" s="207" t="s">
        <v>386</v>
      </c>
      <c r="CE14" s="208" t="s">
        <v>386</v>
      </c>
      <c r="CF14" s="208" t="s">
        <v>386</v>
      </c>
      <c r="CG14" s="208" t="s">
        <v>386</v>
      </c>
      <c r="CH14" s="209" t="s">
        <v>386</v>
      </c>
    </row>
    <row r="15" spans="1:86" x14ac:dyDescent="0.25">
      <c r="A15" s="91" t="s">
        <v>45</v>
      </c>
      <c r="B15" s="207">
        <v>44.8</v>
      </c>
      <c r="C15" s="208">
        <v>32.5</v>
      </c>
      <c r="D15" s="208">
        <v>40.940000000000005</v>
      </c>
      <c r="E15" s="208">
        <v>32.9</v>
      </c>
      <c r="F15" s="208">
        <v>40.6</v>
      </c>
      <c r="G15" s="207">
        <v>20.8</v>
      </c>
      <c r="H15" s="208">
        <v>19.2</v>
      </c>
      <c r="I15" s="208">
        <v>20.53</v>
      </c>
      <c r="J15" s="208">
        <v>19.36</v>
      </c>
      <c r="K15" s="209">
        <v>17.21</v>
      </c>
      <c r="L15" s="208">
        <v>100.8</v>
      </c>
      <c r="M15" s="208">
        <v>100.8</v>
      </c>
      <c r="N15" s="208">
        <v>100.8</v>
      </c>
      <c r="O15" s="208">
        <v>100.8</v>
      </c>
      <c r="P15" s="208">
        <v>104</v>
      </c>
      <c r="Q15" s="207">
        <v>61.18</v>
      </c>
      <c r="R15" s="208">
        <v>53.919999999999995</v>
      </c>
      <c r="S15" s="208">
        <v>62.24</v>
      </c>
      <c r="T15" s="208">
        <v>58.25</v>
      </c>
      <c r="U15" s="209">
        <v>61.45</v>
      </c>
      <c r="V15" s="208">
        <v>89.25</v>
      </c>
      <c r="W15" s="208">
        <v>70.77</v>
      </c>
      <c r="X15" s="208">
        <v>73.55</v>
      </c>
      <c r="Y15" s="208">
        <v>60.72</v>
      </c>
      <c r="Z15" s="208">
        <v>60.77</v>
      </c>
      <c r="AA15" s="207">
        <v>21.66</v>
      </c>
      <c r="AB15" s="208">
        <v>14.41</v>
      </c>
      <c r="AC15" s="208">
        <v>20.76</v>
      </c>
      <c r="AD15" s="208">
        <v>19.28</v>
      </c>
      <c r="AE15" s="208">
        <v>20.52</v>
      </c>
      <c r="AF15" s="229" t="s">
        <v>386</v>
      </c>
      <c r="AG15" s="220" t="s">
        <v>386</v>
      </c>
      <c r="AH15" s="220" t="s">
        <v>386</v>
      </c>
      <c r="AI15" s="220" t="s">
        <v>386</v>
      </c>
      <c r="AJ15" s="224" t="s">
        <v>386</v>
      </c>
      <c r="AK15" s="208">
        <v>1881.29</v>
      </c>
      <c r="AL15" s="208">
        <v>1457.5</v>
      </c>
      <c r="AM15" s="208">
        <v>1817.24</v>
      </c>
      <c r="AN15" s="208">
        <v>1638.87</v>
      </c>
      <c r="AO15" s="208">
        <v>1742.37</v>
      </c>
      <c r="AP15" s="207">
        <v>1709.8000000000002</v>
      </c>
      <c r="AQ15" s="208">
        <v>1533.18</v>
      </c>
      <c r="AR15" s="208">
        <v>1782.5</v>
      </c>
      <c r="AS15" s="208">
        <v>1768.0900000000001</v>
      </c>
      <c r="AT15" s="209">
        <v>996.16000000000008</v>
      </c>
      <c r="AU15" s="208">
        <v>1916.64</v>
      </c>
      <c r="AV15" s="208">
        <v>1504.49</v>
      </c>
      <c r="AW15" s="208">
        <v>1741.11</v>
      </c>
      <c r="AX15" s="208">
        <v>1861.29</v>
      </c>
      <c r="AY15" s="208">
        <v>2116.54</v>
      </c>
      <c r="AZ15" s="207">
        <v>1355.89</v>
      </c>
      <c r="BA15" s="208">
        <v>971.2</v>
      </c>
      <c r="BB15" s="208">
        <v>1138.1600000000001</v>
      </c>
      <c r="BC15" s="208">
        <v>964.48</v>
      </c>
      <c r="BD15" s="209">
        <v>1079.26</v>
      </c>
      <c r="BE15" s="208">
        <v>900</v>
      </c>
      <c r="BF15" s="208">
        <v>609.6</v>
      </c>
      <c r="BG15" s="208">
        <v>997</v>
      </c>
      <c r="BH15" s="208">
        <v>1039</v>
      </c>
      <c r="BI15" s="208">
        <v>1015</v>
      </c>
      <c r="BJ15" s="207">
        <v>765.85</v>
      </c>
      <c r="BK15" s="208">
        <v>616.07000000000005</v>
      </c>
      <c r="BL15" s="208">
        <v>472.11</v>
      </c>
      <c r="BM15" s="208">
        <v>413.28</v>
      </c>
      <c r="BN15" s="209">
        <v>811.84</v>
      </c>
      <c r="BO15" s="208" t="s">
        <v>386</v>
      </c>
      <c r="BP15" s="208" t="s">
        <v>386</v>
      </c>
      <c r="BQ15" s="208" t="s">
        <v>386</v>
      </c>
      <c r="BR15" s="208" t="s">
        <v>386</v>
      </c>
      <c r="BS15" s="209" t="s">
        <v>386</v>
      </c>
      <c r="BT15" s="208" t="s">
        <v>386</v>
      </c>
      <c r="BU15" s="208" t="s">
        <v>386</v>
      </c>
      <c r="BV15" s="208" t="s">
        <v>386</v>
      </c>
      <c r="BW15" s="208" t="s">
        <v>386</v>
      </c>
      <c r="BX15" s="209" t="s">
        <v>386</v>
      </c>
      <c r="BY15" s="208">
        <v>1046.58</v>
      </c>
      <c r="BZ15" s="208">
        <v>1237</v>
      </c>
      <c r="CA15" s="208">
        <v>1601.06</v>
      </c>
      <c r="CB15" s="208">
        <v>1502.36</v>
      </c>
      <c r="CC15" s="208">
        <v>2162.7399999999998</v>
      </c>
      <c r="CD15" s="207">
        <v>1719</v>
      </c>
      <c r="CE15" s="208">
        <v>1476</v>
      </c>
      <c r="CF15" s="208">
        <v>871.2</v>
      </c>
      <c r="CG15" s="208">
        <v>1704</v>
      </c>
      <c r="CH15" s="209">
        <v>1825</v>
      </c>
    </row>
    <row r="16" spans="1:86" x14ac:dyDescent="0.25">
      <c r="A16" s="91" t="s">
        <v>46</v>
      </c>
      <c r="B16" s="207">
        <v>40.339999999999996</v>
      </c>
      <c r="C16" s="208">
        <v>31.75</v>
      </c>
      <c r="D16" s="208">
        <v>46.51</v>
      </c>
      <c r="E16" s="208">
        <v>39.840000000000003</v>
      </c>
      <c r="F16" s="208">
        <v>44.83</v>
      </c>
      <c r="G16" s="207">
        <v>20.47</v>
      </c>
      <c r="H16" s="208">
        <v>19.2</v>
      </c>
      <c r="I16" s="208">
        <v>20</v>
      </c>
      <c r="J16" s="208">
        <v>28.83</v>
      </c>
      <c r="K16" s="209">
        <v>23.93</v>
      </c>
      <c r="L16" s="208">
        <v>76.91</v>
      </c>
      <c r="M16" s="208">
        <v>72.349999999999994</v>
      </c>
      <c r="N16" s="208">
        <v>77.81</v>
      </c>
      <c r="O16" s="208">
        <v>114.56</v>
      </c>
      <c r="P16" s="208">
        <v>82.61</v>
      </c>
      <c r="Q16" s="207">
        <v>51.56</v>
      </c>
      <c r="R16" s="208">
        <v>38.200000000000003</v>
      </c>
      <c r="S16" s="208">
        <v>53.03</v>
      </c>
      <c r="T16" s="208">
        <v>50.169999999999995</v>
      </c>
      <c r="U16" s="209">
        <v>61.13</v>
      </c>
      <c r="V16" s="208">
        <v>78.55</v>
      </c>
      <c r="W16" s="208">
        <v>48</v>
      </c>
      <c r="X16" s="208">
        <v>76</v>
      </c>
      <c r="Y16" s="208">
        <v>60.72</v>
      </c>
      <c r="Z16" s="208">
        <v>93.49</v>
      </c>
      <c r="AA16" s="207">
        <v>22</v>
      </c>
      <c r="AB16" s="208">
        <v>13.6</v>
      </c>
      <c r="AC16" s="208">
        <v>15.82</v>
      </c>
      <c r="AD16" s="208">
        <v>14.7</v>
      </c>
      <c r="AE16" s="208">
        <v>17</v>
      </c>
      <c r="AF16" s="229">
        <v>31</v>
      </c>
      <c r="AG16" s="220">
        <v>23</v>
      </c>
      <c r="AH16" s="220">
        <v>35</v>
      </c>
      <c r="AI16" s="220">
        <v>56</v>
      </c>
      <c r="AJ16" s="224">
        <v>41</v>
      </c>
      <c r="AK16" s="208">
        <v>1742.43</v>
      </c>
      <c r="AL16" s="208">
        <v>1291.93</v>
      </c>
      <c r="AM16" s="208">
        <v>1601.63</v>
      </c>
      <c r="AN16" s="208">
        <v>1720.6799999999998</v>
      </c>
      <c r="AO16" s="208">
        <v>1810.02</v>
      </c>
      <c r="AP16" s="207">
        <v>2069</v>
      </c>
      <c r="AQ16" s="208">
        <v>1681.8999999999999</v>
      </c>
      <c r="AR16" s="208">
        <v>1749.18</v>
      </c>
      <c r="AS16" s="208">
        <v>2096.88</v>
      </c>
      <c r="AT16" s="209">
        <v>1783.74</v>
      </c>
      <c r="AU16" s="208">
        <v>2224.62</v>
      </c>
      <c r="AV16" s="208">
        <v>1534.93</v>
      </c>
      <c r="AW16" s="208">
        <v>2729.37</v>
      </c>
      <c r="AX16" s="208">
        <v>2104.91</v>
      </c>
      <c r="AY16" s="208">
        <v>2402.36</v>
      </c>
      <c r="AZ16" s="207">
        <v>1544</v>
      </c>
      <c r="BA16" s="208">
        <v>866</v>
      </c>
      <c r="BB16" s="208">
        <v>1463</v>
      </c>
      <c r="BC16" s="208">
        <v>1134</v>
      </c>
      <c r="BD16" s="209">
        <v>1513</v>
      </c>
      <c r="BE16" s="208">
        <v>952</v>
      </c>
      <c r="BF16" s="208">
        <v>611.20000000000005</v>
      </c>
      <c r="BG16" s="208">
        <v>1003</v>
      </c>
      <c r="BH16" s="208">
        <v>998</v>
      </c>
      <c r="BI16" s="208">
        <v>1087</v>
      </c>
      <c r="BJ16" s="207">
        <v>613</v>
      </c>
      <c r="BK16" s="208">
        <v>548</v>
      </c>
      <c r="BL16" s="208">
        <v>570.4</v>
      </c>
      <c r="BM16" s="208">
        <v>570.4</v>
      </c>
      <c r="BN16" s="209">
        <v>587</v>
      </c>
      <c r="BO16" s="208">
        <v>1341</v>
      </c>
      <c r="BP16" s="208">
        <v>1200</v>
      </c>
      <c r="BQ16" s="208">
        <v>1258</v>
      </c>
      <c r="BR16" s="208">
        <v>1372</v>
      </c>
      <c r="BS16" s="209">
        <v>1462</v>
      </c>
      <c r="BT16" s="208" t="s">
        <v>386</v>
      </c>
      <c r="BU16" s="208" t="s">
        <v>386</v>
      </c>
      <c r="BV16" s="208" t="s">
        <v>386</v>
      </c>
      <c r="BW16" s="208" t="s">
        <v>386</v>
      </c>
      <c r="BX16" s="209" t="s">
        <v>386</v>
      </c>
      <c r="BY16" s="208">
        <v>1608</v>
      </c>
      <c r="BZ16" s="208">
        <v>1262</v>
      </c>
      <c r="CA16" s="208">
        <v>2094</v>
      </c>
      <c r="CB16" s="208">
        <v>1595</v>
      </c>
      <c r="CC16" s="208">
        <v>1820</v>
      </c>
      <c r="CD16" s="207">
        <v>1719</v>
      </c>
      <c r="CE16" s="208">
        <v>1714</v>
      </c>
      <c r="CF16" s="208">
        <v>850</v>
      </c>
      <c r="CG16" s="208">
        <v>2671</v>
      </c>
      <c r="CH16" s="209">
        <v>2064</v>
      </c>
    </row>
    <row r="17" spans="1:86" x14ac:dyDescent="0.25">
      <c r="A17" s="91" t="s">
        <v>47</v>
      </c>
      <c r="B17" s="207">
        <v>53.660000000000004</v>
      </c>
      <c r="C17" s="208">
        <v>41.300000000000004</v>
      </c>
      <c r="D17" s="208">
        <v>52.05</v>
      </c>
      <c r="E17" s="208">
        <v>51.75</v>
      </c>
      <c r="F17" s="208">
        <v>54.480000000000004</v>
      </c>
      <c r="G17" s="207">
        <v>34.67</v>
      </c>
      <c r="H17" s="208">
        <v>28</v>
      </c>
      <c r="I17" s="208">
        <v>34.86</v>
      </c>
      <c r="J17" s="208">
        <v>37.97</v>
      </c>
      <c r="K17" s="209">
        <v>35.160000000000004</v>
      </c>
      <c r="L17" s="208">
        <v>137.11000000000001</v>
      </c>
      <c r="M17" s="208">
        <v>109.5</v>
      </c>
      <c r="N17" s="208">
        <v>150.76000000000002</v>
      </c>
      <c r="O17" s="208">
        <v>155.13999999999999</v>
      </c>
      <c r="P17" s="208">
        <v>160.86000000000001</v>
      </c>
      <c r="Q17" s="207">
        <v>60.86</v>
      </c>
      <c r="R17" s="208">
        <v>60.099999999999994</v>
      </c>
      <c r="S17" s="208">
        <v>69.430000000000007</v>
      </c>
      <c r="T17" s="208">
        <v>74.13000000000001</v>
      </c>
      <c r="U17" s="209">
        <v>62.88</v>
      </c>
      <c r="V17" s="208">
        <v>80.180000000000007</v>
      </c>
      <c r="W17" s="208">
        <v>51.2</v>
      </c>
      <c r="X17" s="208">
        <v>61.3</v>
      </c>
      <c r="Y17" s="208">
        <v>64.540000000000006</v>
      </c>
      <c r="Z17" s="208">
        <v>104.15</v>
      </c>
      <c r="AA17" s="207">
        <v>20</v>
      </c>
      <c r="AB17" s="208">
        <v>12</v>
      </c>
      <c r="AC17" s="208">
        <v>28</v>
      </c>
      <c r="AD17" s="208">
        <v>14</v>
      </c>
      <c r="AE17" s="208">
        <v>28</v>
      </c>
      <c r="AF17" s="229">
        <v>54</v>
      </c>
      <c r="AG17" s="220">
        <v>29</v>
      </c>
      <c r="AH17" s="220">
        <v>67</v>
      </c>
      <c r="AI17" s="220">
        <v>75</v>
      </c>
      <c r="AJ17" s="224">
        <v>79</v>
      </c>
      <c r="AK17" s="208">
        <v>2125.92</v>
      </c>
      <c r="AL17" s="208">
        <v>1441.8999999999999</v>
      </c>
      <c r="AM17" s="208">
        <v>2167.2800000000002</v>
      </c>
      <c r="AN17" s="208">
        <v>1299.06</v>
      </c>
      <c r="AO17" s="208">
        <v>2087.64</v>
      </c>
      <c r="AP17" s="207">
        <v>2031.16</v>
      </c>
      <c r="AQ17" s="208">
        <v>1477.9</v>
      </c>
      <c r="AR17" s="208">
        <v>2234.92</v>
      </c>
      <c r="AS17" s="208">
        <v>2053.4900000000002</v>
      </c>
      <c r="AT17" s="209">
        <v>1528.88</v>
      </c>
      <c r="AU17" s="208">
        <v>1470.4</v>
      </c>
      <c r="AV17" s="208">
        <v>1470.4</v>
      </c>
      <c r="AW17" s="208">
        <v>1853</v>
      </c>
      <c r="AX17" s="208">
        <v>2047.27</v>
      </c>
      <c r="AY17" s="208">
        <v>1814.08</v>
      </c>
      <c r="AZ17" s="207" t="s">
        <v>386</v>
      </c>
      <c r="BA17" s="208" t="s">
        <v>386</v>
      </c>
      <c r="BB17" s="208" t="s">
        <v>386</v>
      </c>
      <c r="BC17" s="208" t="s">
        <v>386</v>
      </c>
      <c r="BD17" s="209" t="s">
        <v>386</v>
      </c>
      <c r="BE17" s="208" t="s">
        <v>386</v>
      </c>
      <c r="BF17" s="208" t="s">
        <v>386</v>
      </c>
      <c r="BG17" s="208" t="s">
        <v>386</v>
      </c>
      <c r="BH17" s="208" t="s">
        <v>386</v>
      </c>
      <c r="BI17" s="208" t="s">
        <v>386</v>
      </c>
      <c r="BJ17" s="207" t="s">
        <v>386</v>
      </c>
      <c r="BK17" s="208" t="s">
        <v>386</v>
      </c>
      <c r="BL17" s="208" t="s">
        <v>386</v>
      </c>
      <c r="BM17" s="208" t="s">
        <v>386</v>
      </c>
      <c r="BN17" s="209" t="s">
        <v>386</v>
      </c>
      <c r="BO17" s="208">
        <v>1627</v>
      </c>
      <c r="BP17" s="208">
        <v>1200</v>
      </c>
      <c r="BQ17" s="208">
        <v>1704</v>
      </c>
      <c r="BR17" s="208">
        <v>1200</v>
      </c>
      <c r="BS17" s="209">
        <v>1681</v>
      </c>
      <c r="BT17" s="208" t="s">
        <v>386</v>
      </c>
      <c r="BU17" s="208" t="s">
        <v>386</v>
      </c>
      <c r="BV17" s="208" t="s">
        <v>386</v>
      </c>
      <c r="BW17" s="208" t="s">
        <v>386</v>
      </c>
      <c r="BX17" s="209" t="s">
        <v>386</v>
      </c>
      <c r="BY17" s="208" t="s">
        <v>386</v>
      </c>
      <c r="BZ17" s="208" t="s">
        <v>386</v>
      </c>
      <c r="CA17" s="208" t="s">
        <v>386</v>
      </c>
      <c r="CB17" s="208" t="s">
        <v>386</v>
      </c>
      <c r="CC17" s="208" t="s">
        <v>386</v>
      </c>
      <c r="CD17" s="207" t="s">
        <v>386</v>
      </c>
      <c r="CE17" s="208" t="s">
        <v>386</v>
      </c>
      <c r="CF17" s="208" t="s">
        <v>386</v>
      </c>
      <c r="CG17" s="208" t="s">
        <v>386</v>
      </c>
      <c r="CH17" s="209" t="s">
        <v>386</v>
      </c>
    </row>
    <row r="18" spans="1:86" x14ac:dyDescent="0.25">
      <c r="A18" s="91" t="s">
        <v>48</v>
      </c>
      <c r="B18" s="207">
        <v>47.870000000000005</v>
      </c>
      <c r="C18" s="208">
        <v>36</v>
      </c>
      <c r="D18" s="208">
        <v>50.660000000000004</v>
      </c>
      <c r="E18" s="208">
        <v>63.45</v>
      </c>
      <c r="F18" s="208">
        <v>62.97</v>
      </c>
      <c r="G18" s="207">
        <v>32.4</v>
      </c>
      <c r="H18" s="208">
        <v>30</v>
      </c>
      <c r="I18" s="208">
        <v>30.400000000000002</v>
      </c>
      <c r="J18" s="208">
        <v>47.02</v>
      </c>
      <c r="K18" s="209">
        <v>39.799999999999997</v>
      </c>
      <c r="L18" s="208">
        <v>126.61999999999999</v>
      </c>
      <c r="M18" s="208">
        <v>99.95</v>
      </c>
      <c r="N18" s="208">
        <v>112.24000000000001</v>
      </c>
      <c r="O18" s="208">
        <v>168.19</v>
      </c>
      <c r="P18" s="208">
        <v>149.79999999999998</v>
      </c>
      <c r="Q18" s="207">
        <v>69.5</v>
      </c>
      <c r="R18" s="208">
        <v>54.699999999999996</v>
      </c>
      <c r="S18" s="208">
        <v>83.75</v>
      </c>
      <c r="T18" s="208">
        <v>81.81</v>
      </c>
      <c r="U18" s="209">
        <v>90.97</v>
      </c>
      <c r="V18" s="208">
        <v>65.12</v>
      </c>
      <c r="W18" s="208">
        <v>58.4</v>
      </c>
      <c r="X18" s="208">
        <v>82.15</v>
      </c>
      <c r="Y18" s="208">
        <v>92.8</v>
      </c>
      <c r="Z18" s="208">
        <v>115.26</v>
      </c>
      <c r="AA18" s="207">
        <v>18</v>
      </c>
      <c r="AB18" s="208">
        <v>8.8000000000000007</v>
      </c>
      <c r="AC18" s="208">
        <v>14</v>
      </c>
      <c r="AD18" s="208">
        <v>17</v>
      </c>
      <c r="AE18" s="208">
        <v>19</v>
      </c>
      <c r="AF18" s="229">
        <v>50</v>
      </c>
      <c r="AG18" s="220">
        <v>21</v>
      </c>
      <c r="AH18" s="220">
        <v>50</v>
      </c>
      <c r="AI18" s="220">
        <v>82</v>
      </c>
      <c r="AJ18" s="224">
        <v>74</v>
      </c>
      <c r="AK18" s="208">
        <v>1447.94</v>
      </c>
      <c r="AL18" s="208">
        <v>1113.5999999999999</v>
      </c>
      <c r="AM18" s="208">
        <v>1981.07</v>
      </c>
      <c r="AN18" s="208">
        <v>2451.92</v>
      </c>
      <c r="AO18" s="208">
        <v>2138.71</v>
      </c>
      <c r="AP18" s="207">
        <v>1931.41</v>
      </c>
      <c r="AQ18" s="208">
        <v>1666.71</v>
      </c>
      <c r="AR18" s="208">
        <v>2262.33</v>
      </c>
      <c r="AS18" s="208">
        <v>2314.4100000000003</v>
      </c>
      <c r="AT18" s="209">
        <v>2074.33</v>
      </c>
      <c r="AU18" s="208">
        <v>1680.8</v>
      </c>
      <c r="AV18" s="208">
        <v>1680.8</v>
      </c>
      <c r="AW18" s="208">
        <v>2287</v>
      </c>
      <c r="AX18" s="208">
        <v>2884</v>
      </c>
      <c r="AY18" s="208">
        <v>2880</v>
      </c>
      <c r="AZ18" s="207">
        <v>1042</v>
      </c>
      <c r="BA18" s="208">
        <v>1025.5999999999999</v>
      </c>
      <c r="BB18" s="208">
        <v>1226</v>
      </c>
      <c r="BC18" s="208">
        <v>1554</v>
      </c>
      <c r="BD18" s="209">
        <v>1552</v>
      </c>
      <c r="BE18" s="208">
        <v>1033</v>
      </c>
      <c r="BF18" s="208">
        <v>578</v>
      </c>
      <c r="BG18" s="208">
        <v>1000</v>
      </c>
      <c r="BH18" s="208">
        <v>1038</v>
      </c>
      <c r="BI18" s="208">
        <v>960</v>
      </c>
      <c r="BJ18" s="207" t="s">
        <v>386</v>
      </c>
      <c r="BK18" s="208" t="s">
        <v>386</v>
      </c>
      <c r="BL18" s="208" t="s">
        <v>386</v>
      </c>
      <c r="BM18" s="208" t="s">
        <v>386</v>
      </c>
      <c r="BN18" s="209" t="s">
        <v>386</v>
      </c>
      <c r="BO18" s="208" t="s">
        <v>386</v>
      </c>
      <c r="BP18" s="208" t="s">
        <v>386</v>
      </c>
      <c r="BQ18" s="208" t="s">
        <v>386</v>
      </c>
      <c r="BR18" s="208" t="s">
        <v>386</v>
      </c>
      <c r="BS18" s="209" t="s">
        <v>386</v>
      </c>
      <c r="BT18" s="208" t="s">
        <v>386</v>
      </c>
      <c r="BU18" s="208" t="s">
        <v>386</v>
      </c>
      <c r="BV18" s="208" t="s">
        <v>386</v>
      </c>
      <c r="BW18" s="208" t="s">
        <v>386</v>
      </c>
      <c r="BX18" s="209" t="s">
        <v>386</v>
      </c>
      <c r="BY18" s="208" t="s">
        <v>386</v>
      </c>
      <c r="BZ18" s="208" t="s">
        <v>386</v>
      </c>
      <c r="CA18" s="208" t="s">
        <v>386</v>
      </c>
      <c r="CB18" s="208" t="s">
        <v>386</v>
      </c>
      <c r="CC18" s="208" t="s">
        <v>386</v>
      </c>
      <c r="CD18" s="207" t="s">
        <v>386</v>
      </c>
      <c r="CE18" s="208" t="s">
        <v>386</v>
      </c>
      <c r="CF18" s="208" t="s">
        <v>386</v>
      </c>
      <c r="CG18" s="208" t="s">
        <v>386</v>
      </c>
      <c r="CH18" s="209" t="s">
        <v>386</v>
      </c>
    </row>
    <row r="19" spans="1:86" x14ac:dyDescent="0.25">
      <c r="A19" s="91" t="s">
        <v>49</v>
      </c>
      <c r="B19" s="207">
        <v>55.220000000000006</v>
      </c>
      <c r="C19" s="208">
        <v>44.65</v>
      </c>
      <c r="D19" s="208">
        <v>63.339999999999996</v>
      </c>
      <c r="E19" s="208">
        <v>61.86</v>
      </c>
      <c r="F19" s="208">
        <v>61.37</v>
      </c>
      <c r="G19" s="207">
        <v>30.259999999999998</v>
      </c>
      <c r="H19" s="208">
        <v>29.75</v>
      </c>
      <c r="I19" s="208">
        <v>39.769999999999996</v>
      </c>
      <c r="J19" s="208">
        <v>41.9</v>
      </c>
      <c r="K19" s="209">
        <v>37.900000000000006</v>
      </c>
      <c r="L19" s="208">
        <v>143.97</v>
      </c>
      <c r="M19" s="208">
        <v>117.35000000000001</v>
      </c>
      <c r="N19" s="208">
        <v>167.12</v>
      </c>
      <c r="O19" s="208">
        <v>174.39000000000001</v>
      </c>
      <c r="P19" s="208">
        <v>166.85</v>
      </c>
      <c r="Q19" s="207">
        <v>72.55</v>
      </c>
      <c r="R19" s="208">
        <v>56.9</v>
      </c>
      <c r="S19" s="208">
        <v>74.45</v>
      </c>
      <c r="T19" s="208">
        <v>67.44</v>
      </c>
      <c r="U19" s="209">
        <v>62.43</v>
      </c>
      <c r="V19" s="208">
        <v>114.22</v>
      </c>
      <c r="W19" s="208">
        <v>63.2</v>
      </c>
      <c r="X19" s="208">
        <v>79.400000000000006</v>
      </c>
      <c r="Y19" s="208">
        <v>93.31</v>
      </c>
      <c r="Z19" s="208">
        <v>84.83</v>
      </c>
      <c r="AA19" s="207">
        <v>15.2</v>
      </c>
      <c r="AB19" s="208">
        <v>14.4</v>
      </c>
      <c r="AC19" s="208">
        <v>31</v>
      </c>
      <c r="AD19" s="208">
        <v>14.4</v>
      </c>
      <c r="AE19" s="208">
        <v>20</v>
      </c>
      <c r="AF19" s="362">
        <v>57</v>
      </c>
      <c r="AG19" s="363">
        <v>35</v>
      </c>
      <c r="AH19" s="363">
        <v>75</v>
      </c>
      <c r="AI19" s="363">
        <v>85</v>
      </c>
      <c r="AJ19" s="364">
        <v>82</v>
      </c>
      <c r="AK19" s="208">
        <v>1913.92</v>
      </c>
      <c r="AL19" s="208">
        <v>1304.3</v>
      </c>
      <c r="AM19" s="208">
        <v>1796.28</v>
      </c>
      <c r="AN19" s="208">
        <v>1525.46</v>
      </c>
      <c r="AO19" s="208">
        <v>1927.64</v>
      </c>
      <c r="AP19" s="207">
        <v>2312.9700000000003</v>
      </c>
      <c r="AQ19" s="208">
        <v>2170.1799999999998</v>
      </c>
      <c r="AR19" s="208">
        <v>2717.04</v>
      </c>
      <c r="AS19" s="208">
        <v>2102.29</v>
      </c>
      <c r="AT19" s="209">
        <v>1526.8</v>
      </c>
      <c r="AU19" s="208">
        <v>1873.6</v>
      </c>
      <c r="AV19" s="208">
        <v>1922.4</v>
      </c>
      <c r="AW19" s="208">
        <v>1899</v>
      </c>
      <c r="AX19" s="208">
        <v>2047</v>
      </c>
      <c r="AY19" s="208">
        <v>2022</v>
      </c>
      <c r="AZ19" s="207">
        <v>1070.4000000000001</v>
      </c>
      <c r="BA19" s="208">
        <v>1070.4000000000001</v>
      </c>
      <c r="BB19" s="208">
        <v>1070.4000000000001</v>
      </c>
      <c r="BC19" s="208">
        <v>1103</v>
      </c>
      <c r="BD19" s="209">
        <v>1090</v>
      </c>
      <c r="BE19" s="208" t="s">
        <v>386</v>
      </c>
      <c r="BF19" s="208" t="s">
        <v>386</v>
      </c>
      <c r="BG19" s="208" t="s">
        <v>386</v>
      </c>
      <c r="BH19" s="208" t="s">
        <v>386</v>
      </c>
      <c r="BI19" s="208" t="s">
        <v>386</v>
      </c>
      <c r="BJ19" s="207" t="s">
        <v>386</v>
      </c>
      <c r="BK19" s="208" t="s">
        <v>386</v>
      </c>
      <c r="BL19" s="208" t="s">
        <v>386</v>
      </c>
      <c r="BM19" s="208" t="s">
        <v>386</v>
      </c>
      <c r="BN19" s="209" t="s">
        <v>386</v>
      </c>
      <c r="BO19" s="208">
        <v>1452</v>
      </c>
      <c r="BP19" s="208">
        <v>856.8</v>
      </c>
      <c r="BQ19" s="208">
        <v>1398</v>
      </c>
      <c r="BR19" s="208">
        <v>1195</v>
      </c>
      <c r="BS19" s="209">
        <v>1549</v>
      </c>
      <c r="BT19" s="208" t="s">
        <v>386</v>
      </c>
      <c r="BU19" s="208" t="s">
        <v>386</v>
      </c>
      <c r="BV19" s="208" t="s">
        <v>386</v>
      </c>
      <c r="BW19" s="208" t="s">
        <v>386</v>
      </c>
      <c r="BX19" s="209" t="s">
        <v>386</v>
      </c>
      <c r="BY19" s="208" t="s">
        <v>386</v>
      </c>
      <c r="BZ19" s="208" t="s">
        <v>386</v>
      </c>
      <c r="CA19" s="208" t="s">
        <v>386</v>
      </c>
      <c r="CB19" s="208" t="s">
        <v>386</v>
      </c>
      <c r="CC19" s="208" t="s">
        <v>386</v>
      </c>
      <c r="CD19" s="207" t="s">
        <v>386</v>
      </c>
      <c r="CE19" s="208" t="s">
        <v>386</v>
      </c>
      <c r="CF19" s="208" t="s">
        <v>386</v>
      </c>
      <c r="CG19" s="208" t="s">
        <v>386</v>
      </c>
      <c r="CH19" s="209" t="s">
        <v>386</v>
      </c>
    </row>
    <row r="20" spans="1:86" x14ac:dyDescent="0.25">
      <c r="A20" s="91" t="s">
        <v>50</v>
      </c>
      <c r="B20" s="207">
        <v>49.46</v>
      </c>
      <c r="C20" s="208">
        <v>34.85</v>
      </c>
      <c r="D20" s="208">
        <v>44.81</v>
      </c>
      <c r="E20" s="208">
        <v>56.3</v>
      </c>
      <c r="F20" s="208">
        <v>34.53</v>
      </c>
      <c r="G20" s="207">
        <v>15</v>
      </c>
      <c r="H20" s="208">
        <v>15</v>
      </c>
      <c r="I20" s="208">
        <v>20</v>
      </c>
      <c r="J20" s="208">
        <v>31</v>
      </c>
      <c r="K20" s="209">
        <v>22</v>
      </c>
      <c r="L20" s="208">
        <v>73.02</v>
      </c>
      <c r="M20" s="208">
        <v>71.649999999999991</v>
      </c>
      <c r="N20" s="208">
        <v>70.28</v>
      </c>
      <c r="O20" s="208">
        <v>120.16</v>
      </c>
      <c r="P20" s="208">
        <v>76.92</v>
      </c>
      <c r="Q20" s="207">
        <v>48</v>
      </c>
      <c r="R20" s="208">
        <v>29.6</v>
      </c>
      <c r="S20" s="208">
        <v>47</v>
      </c>
      <c r="T20" s="208">
        <v>36</v>
      </c>
      <c r="U20" s="209">
        <v>49</v>
      </c>
      <c r="V20" s="208">
        <v>64</v>
      </c>
      <c r="W20" s="208">
        <v>51.2</v>
      </c>
      <c r="X20" s="208">
        <v>74.38</v>
      </c>
      <c r="Y20" s="208">
        <v>94.45</v>
      </c>
      <c r="Z20" s="208">
        <v>50.4</v>
      </c>
      <c r="AA20" s="207">
        <v>12.67</v>
      </c>
      <c r="AB20" s="208">
        <v>10.4</v>
      </c>
      <c r="AC20" s="208">
        <v>18</v>
      </c>
      <c r="AD20" s="208">
        <v>19</v>
      </c>
      <c r="AE20" s="208">
        <v>20</v>
      </c>
      <c r="AF20" s="229">
        <v>28</v>
      </c>
      <c r="AG20" s="220">
        <v>23.2</v>
      </c>
      <c r="AH20" s="220">
        <v>31</v>
      </c>
      <c r="AI20" s="220">
        <v>59</v>
      </c>
      <c r="AJ20" s="224">
        <v>82</v>
      </c>
      <c r="AK20" s="208">
        <v>2047.98</v>
      </c>
      <c r="AL20" s="208">
        <v>1078.4000000000001</v>
      </c>
      <c r="AM20" s="208">
        <v>1328.84</v>
      </c>
      <c r="AN20" s="208">
        <v>2590.23</v>
      </c>
      <c r="AO20" s="208">
        <v>1624.73</v>
      </c>
      <c r="AP20" s="207">
        <v>1931.6499999999999</v>
      </c>
      <c r="AQ20" s="208">
        <v>1366.35</v>
      </c>
      <c r="AR20" s="208">
        <v>1901.24</v>
      </c>
      <c r="AS20" s="208">
        <v>2561.02</v>
      </c>
      <c r="AT20" s="209">
        <v>1608.8</v>
      </c>
      <c r="AU20" s="208">
        <v>2179.14</v>
      </c>
      <c r="AV20" s="208">
        <v>1668.8</v>
      </c>
      <c r="AW20" s="208">
        <v>1757.6</v>
      </c>
      <c r="AX20" s="208">
        <v>3180.53</v>
      </c>
      <c r="AY20" s="208">
        <v>1779.53</v>
      </c>
      <c r="AZ20" s="207">
        <v>1512</v>
      </c>
      <c r="BA20" s="208">
        <v>1268</v>
      </c>
      <c r="BB20" s="208">
        <v>1272.22</v>
      </c>
      <c r="BC20" s="208">
        <v>1218.8399999999999</v>
      </c>
      <c r="BD20" s="209">
        <v>1120.8</v>
      </c>
      <c r="BE20" s="208">
        <v>999</v>
      </c>
      <c r="BF20" s="208">
        <v>611.20000000000005</v>
      </c>
      <c r="BG20" s="208">
        <v>903</v>
      </c>
      <c r="BH20" s="208">
        <v>869</v>
      </c>
      <c r="BI20" s="208">
        <v>1103</v>
      </c>
      <c r="BJ20" s="207">
        <v>772</v>
      </c>
      <c r="BK20" s="208">
        <v>518.4</v>
      </c>
      <c r="BL20" s="208">
        <v>544</v>
      </c>
      <c r="BM20" s="208">
        <v>859</v>
      </c>
      <c r="BN20" s="209">
        <v>544</v>
      </c>
      <c r="BO20" s="208">
        <v>1691</v>
      </c>
      <c r="BP20" s="208">
        <v>856.8</v>
      </c>
      <c r="BQ20" s="208">
        <v>1097</v>
      </c>
      <c r="BR20" s="208">
        <v>2139</v>
      </c>
      <c r="BS20" s="209">
        <v>1341</v>
      </c>
      <c r="BT20" s="208">
        <v>2017</v>
      </c>
      <c r="BU20" s="208">
        <v>824</v>
      </c>
      <c r="BV20" s="208">
        <v>1309</v>
      </c>
      <c r="BW20" s="208">
        <v>2551</v>
      </c>
      <c r="BX20" s="209">
        <v>1600</v>
      </c>
      <c r="BY20" s="208">
        <v>1575</v>
      </c>
      <c r="BZ20" s="208">
        <v>1201.5999999999999</v>
      </c>
      <c r="CA20" s="208">
        <v>1232</v>
      </c>
      <c r="CB20" s="208">
        <v>2410</v>
      </c>
      <c r="CC20" s="208">
        <v>1348</v>
      </c>
      <c r="CD20" s="207">
        <v>1719</v>
      </c>
      <c r="CE20" s="208">
        <v>1679</v>
      </c>
      <c r="CF20" s="208">
        <v>1068</v>
      </c>
      <c r="CG20" s="208">
        <v>1572</v>
      </c>
      <c r="CH20" s="209">
        <v>3119</v>
      </c>
    </row>
    <row r="21" spans="1:86" x14ac:dyDescent="0.25">
      <c r="A21" s="91" t="s">
        <v>51</v>
      </c>
      <c r="B21" s="207">
        <v>55.41</v>
      </c>
      <c r="C21" s="208">
        <v>50.6</v>
      </c>
      <c r="D21" s="208">
        <v>64.790000000000006</v>
      </c>
      <c r="E21" s="208">
        <v>63.93</v>
      </c>
      <c r="F21" s="208">
        <v>74.190000000000012</v>
      </c>
      <c r="G21" s="207">
        <v>34.57</v>
      </c>
      <c r="H21" s="208">
        <v>33.5</v>
      </c>
      <c r="I21" s="208">
        <v>39.099999999999994</v>
      </c>
      <c r="J21" s="208">
        <v>36.910000000000004</v>
      </c>
      <c r="K21" s="209">
        <v>41.68</v>
      </c>
      <c r="L21" s="208">
        <v>147.83000000000001</v>
      </c>
      <c r="M21" s="208">
        <v>142.77000000000001</v>
      </c>
      <c r="N21" s="208">
        <v>159.82</v>
      </c>
      <c r="O21" s="208">
        <v>156.38</v>
      </c>
      <c r="P21" s="208">
        <v>170.91</v>
      </c>
      <c r="Q21" s="207">
        <v>62.62</v>
      </c>
      <c r="R21" s="208">
        <v>56.879999999999995</v>
      </c>
      <c r="S21" s="208">
        <v>80.599999999999994</v>
      </c>
      <c r="T21" s="208">
        <v>79.98</v>
      </c>
      <c r="U21" s="209">
        <v>78.31</v>
      </c>
      <c r="V21" s="208">
        <v>91</v>
      </c>
      <c r="W21" s="208">
        <v>78.400000000000006</v>
      </c>
      <c r="X21" s="208">
        <v>94</v>
      </c>
      <c r="Y21" s="208">
        <v>109</v>
      </c>
      <c r="Z21" s="208">
        <v>114.9</v>
      </c>
      <c r="AA21" s="207">
        <v>29</v>
      </c>
      <c r="AB21" s="208">
        <v>16.8</v>
      </c>
      <c r="AC21" s="208">
        <v>28</v>
      </c>
      <c r="AD21" s="208">
        <v>18.399999999999999</v>
      </c>
      <c r="AE21" s="208">
        <v>28</v>
      </c>
      <c r="AF21" s="229" t="s">
        <v>386</v>
      </c>
      <c r="AG21" s="220" t="s">
        <v>386</v>
      </c>
      <c r="AH21" s="220" t="s">
        <v>386</v>
      </c>
      <c r="AI21" s="220" t="s">
        <v>386</v>
      </c>
      <c r="AJ21" s="224" t="s">
        <v>386</v>
      </c>
      <c r="AK21" s="208">
        <v>1360.97</v>
      </c>
      <c r="AL21" s="208">
        <v>1340.66</v>
      </c>
      <c r="AM21" s="208">
        <v>2164.88</v>
      </c>
      <c r="AN21" s="208">
        <v>2011.48</v>
      </c>
      <c r="AO21" s="208">
        <v>1924.3100000000002</v>
      </c>
      <c r="AP21" s="207">
        <v>1963.75</v>
      </c>
      <c r="AQ21" s="208">
        <v>2063.66</v>
      </c>
      <c r="AR21" s="208">
        <v>2186.89</v>
      </c>
      <c r="AS21" s="208">
        <v>2101.4299999999998</v>
      </c>
      <c r="AT21" s="209">
        <v>1581.1399999999999</v>
      </c>
      <c r="AU21" s="208">
        <v>2155</v>
      </c>
      <c r="AV21" s="208">
        <v>1807.2</v>
      </c>
      <c r="AW21" s="208">
        <v>3284</v>
      </c>
      <c r="AX21" s="208">
        <v>3424</v>
      </c>
      <c r="AY21" s="208">
        <v>2746</v>
      </c>
      <c r="AZ21" s="207">
        <v>1496</v>
      </c>
      <c r="BA21" s="208">
        <v>930.4</v>
      </c>
      <c r="BB21" s="208">
        <v>1760</v>
      </c>
      <c r="BC21" s="208">
        <v>1845</v>
      </c>
      <c r="BD21" s="209">
        <v>1480</v>
      </c>
      <c r="BE21" s="208" t="s">
        <v>386</v>
      </c>
      <c r="BF21" s="208" t="s">
        <v>386</v>
      </c>
      <c r="BG21" s="208" t="s">
        <v>386</v>
      </c>
      <c r="BH21" s="208" t="s">
        <v>386</v>
      </c>
      <c r="BI21" s="208" t="s">
        <v>386</v>
      </c>
      <c r="BJ21" s="207">
        <v>615.20000000000005</v>
      </c>
      <c r="BK21" s="208">
        <v>615.20000000000005</v>
      </c>
      <c r="BL21" s="208">
        <v>615.20000000000005</v>
      </c>
      <c r="BM21" s="208">
        <v>640</v>
      </c>
      <c r="BN21" s="209">
        <v>621</v>
      </c>
      <c r="BO21" s="208" t="s">
        <v>386</v>
      </c>
      <c r="BP21" s="208" t="s">
        <v>386</v>
      </c>
      <c r="BQ21" s="208" t="s">
        <v>386</v>
      </c>
      <c r="BR21" s="208" t="s">
        <v>386</v>
      </c>
      <c r="BS21" s="209" t="s">
        <v>386</v>
      </c>
      <c r="BT21" s="208">
        <v>1181</v>
      </c>
      <c r="BU21" s="208">
        <v>1188</v>
      </c>
      <c r="BV21" s="208">
        <v>2026</v>
      </c>
      <c r="BW21" s="208">
        <v>1901</v>
      </c>
      <c r="BX21" s="209">
        <v>1842</v>
      </c>
      <c r="BY21" s="208" t="s">
        <v>386</v>
      </c>
      <c r="BZ21" s="208" t="s">
        <v>386</v>
      </c>
      <c r="CA21" s="208" t="s">
        <v>386</v>
      </c>
      <c r="CB21" s="208" t="s">
        <v>386</v>
      </c>
      <c r="CC21" s="208" t="s">
        <v>386</v>
      </c>
      <c r="CD21" s="207" t="s">
        <v>386</v>
      </c>
      <c r="CE21" s="208" t="s">
        <v>386</v>
      </c>
      <c r="CF21" s="208" t="s">
        <v>386</v>
      </c>
      <c r="CG21" s="208" t="s">
        <v>386</v>
      </c>
      <c r="CH21" s="209" t="s">
        <v>386</v>
      </c>
    </row>
    <row r="22" spans="1:86" x14ac:dyDescent="0.25">
      <c r="A22" s="91" t="s">
        <v>52</v>
      </c>
      <c r="B22" s="207">
        <v>36.900000000000006</v>
      </c>
      <c r="C22" s="208">
        <v>27.4</v>
      </c>
      <c r="D22" s="208">
        <v>45.57</v>
      </c>
      <c r="E22" s="208">
        <v>49.71</v>
      </c>
      <c r="F22" s="208">
        <v>48</v>
      </c>
      <c r="G22" s="207">
        <v>19.13</v>
      </c>
      <c r="H22" s="208">
        <v>19.2</v>
      </c>
      <c r="I22" s="208">
        <v>22.33</v>
      </c>
      <c r="J22" s="208">
        <v>40.76</v>
      </c>
      <c r="K22" s="209">
        <v>21.97</v>
      </c>
      <c r="L22" s="208">
        <v>65.599999999999994</v>
      </c>
      <c r="M22" s="208">
        <v>65.599999999999994</v>
      </c>
      <c r="N22" s="208">
        <v>66.06</v>
      </c>
      <c r="O22" s="208">
        <v>129.54</v>
      </c>
      <c r="P22" s="208">
        <v>89.49</v>
      </c>
      <c r="Q22" s="207">
        <v>43.99</v>
      </c>
      <c r="R22" s="208">
        <v>32.799999999999997</v>
      </c>
      <c r="S22" s="208">
        <v>61.66</v>
      </c>
      <c r="T22" s="208">
        <v>61.63</v>
      </c>
      <c r="U22" s="209">
        <v>80</v>
      </c>
      <c r="V22" s="208">
        <v>56.82</v>
      </c>
      <c r="W22" s="208">
        <v>43.2</v>
      </c>
      <c r="X22" s="208">
        <v>77.459999999999994</v>
      </c>
      <c r="Y22" s="208">
        <v>73.55</v>
      </c>
      <c r="Z22" s="208">
        <v>69.39</v>
      </c>
      <c r="AA22" s="207">
        <v>23.03</v>
      </c>
      <c r="AB22" s="208">
        <v>12.8</v>
      </c>
      <c r="AC22" s="208">
        <v>16.48</v>
      </c>
      <c r="AD22" s="208">
        <v>23.2</v>
      </c>
      <c r="AE22" s="208">
        <v>18.829999999999998</v>
      </c>
      <c r="AF22" s="229">
        <v>24</v>
      </c>
      <c r="AG22" s="220">
        <v>20.8</v>
      </c>
      <c r="AH22" s="220">
        <v>33</v>
      </c>
      <c r="AI22" s="220">
        <v>66</v>
      </c>
      <c r="AJ22" s="224">
        <v>46</v>
      </c>
      <c r="AK22" s="208">
        <v>1716.72</v>
      </c>
      <c r="AL22" s="208">
        <v>1064.7</v>
      </c>
      <c r="AM22" s="208">
        <v>1804.83</v>
      </c>
      <c r="AN22" s="208">
        <v>2240.38</v>
      </c>
      <c r="AO22" s="208">
        <v>1978.08</v>
      </c>
      <c r="AP22" s="207">
        <v>1592.1799999999998</v>
      </c>
      <c r="AQ22" s="208">
        <v>1443.24</v>
      </c>
      <c r="AR22" s="208">
        <v>1701.0300000000002</v>
      </c>
      <c r="AS22" s="208">
        <v>2040.69</v>
      </c>
      <c r="AT22" s="209">
        <v>1626.99</v>
      </c>
      <c r="AU22" s="208">
        <v>1777</v>
      </c>
      <c r="AV22" s="208">
        <v>1276.8</v>
      </c>
      <c r="AW22" s="208">
        <v>2071</v>
      </c>
      <c r="AX22" s="208">
        <v>3929</v>
      </c>
      <c r="AY22" s="208">
        <v>2838</v>
      </c>
      <c r="AZ22" s="207">
        <v>1233</v>
      </c>
      <c r="BA22" s="208">
        <v>709.6</v>
      </c>
      <c r="BB22" s="208">
        <v>1110</v>
      </c>
      <c r="BC22" s="208">
        <v>2117</v>
      </c>
      <c r="BD22" s="209">
        <v>1529</v>
      </c>
      <c r="BE22" s="208">
        <v>1200</v>
      </c>
      <c r="BF22" s="208">
        <v>854</v>
      </c>
      <c r="BG22" s="208">
        <v>992</v>
      </c>
      <c r="BH22" s="208">
        <v>1049</v>
      </c>
      <c r="BI22" s="208">
        <v>960</v>
      </c>
      <c r="BJ22" s="207" t="s">
        <v>386</v>
      </c>
      <c r="BK22" s="208" t="s">
        <v>386</v>
      </c>
      <c r="BL22" s="208" t="s">
        <v>386</v>
      </c>
      <c r="BM22" s="208" t="s">
        <v>386</v>
      </c>
      <c r="BN22" s="209" t="s">
        <v>386</v>
      </c>
      <c r="BO22" s="208">
        <v>1380</v>
      </c>
      <c r="BP22" s="208">
        <v>856.8</v>
      </c>
      <c r="BQ22" s="208">
        <v>1465</v>
      </c>
      <c r="BR22" s="208">
        <v>1831</v>
      </c>
      <c r="BS22" s="209">
        <v>1621</v>
      </c>
      <c r="BT22" s="208" t="s">
        <v>386</v>
      </c>
      <c r="BU22" s="208" t="s">
        <v>386</v>
      </c>
      <c r="BV22" s="208" t="s">
        <v>386</v>
      </c>
      <c r="BW22" s="208" t="s">
        <v>386</v>
      </c>
      <c r="BX22" s="209" t="s">
        <v>386</v>
      </c>
      <c r="BY22" s="208">
        <v>1284</v>
      </c>
      <c r="BZ22" s="208">
        <v>1032</v>
      </c>
      <c r="CA22" s="208">
        <v>1589</v>
      </c>
      <c r="CB22" s="208">
        <v>2977</v>
      </c>
      <c r="CC22" s="208">
        <v>2150</v>
      </c>
      <c r="CD22" s="207">
        <v>1719</v>
      </c>
      <c r="CE22" s="208">
        <v>1369</v>
      </c>
      <c r="CF22" s="208">
        <v>674</v>
      </c>
      <c r="CG22" s="208">
        <v>2026</v>
      </c>
      <c r="CH22" s="209">
        <v>3853</v>
      </c>
    </row>
    <row r="23" spans="1:86" x14ac:dyDescent="0.25">
      <c r="A23" s="91" t="s">
        <v>53</v>
      </c>
      <c r="B23" s="207">
        <v>56.42</v>
      </c>
      <c r="C23" s="208">
        <v>47.5</v>
      </c>
      <c r="D23" s="208">
        <v>59.72</v>
      </c>
      <c r="E23" s="208">
        <v>61.14</v>
      </c>
      <c r="F23" s="208">
        <v>64.400000000000006</v>
      </c>
      <c r="G23" s="207">
        <v>34.96</v>
      </c>
      <c r="H23" s="208">
        <v>30.05</v>
      </c>
      <c r="I23" s="208">
        <v>37.9</v>
      </c>
      <c r="J23" s="208">
        <v>37.029999999999994</v>
      </c>
      <c r="K23" s="209">
        <v>39.270000000000003</v>
      </c>
      <c r="L23" s="208">
        <v>157.56</v>
      </c>
      <c r="M23" s="208">
        <v>118.10000000000001</v>
      </c>
      <c r="N23" s="208">
        <v>161.14999999999998</v>
      </c>
      <c r="O23" s="208">
        <v>167.2</v>
      </c>
      <c r="P23" s="208">
        <v>170.11</v>
      </c>
      <c r="Q23" s="207">
        <v>85.97</v>
      </c>
      <c r="R23" s="208">
        <v>59.25</v>
      </c>
      <c r="S23" s="208">
        <v>82.8</v>
      </c>
      <c r="T23" s="208">
        <v>81.850000000000009</v>
      </c>
      <c r="U23" s="209">
        <v>77.709999999999994</v>
      </c>
      <c r="V23" s="208">
        <v>80</v>
      </c>
      <c r="W23" s="208">
        <v>52</v>
      </c>
      <c r="X23" s="208">
        <v>76</v>
      </c>
      <c r="Y23" s="208">
        <v>74.11</v>
      </c>
      <c r="Z23" s="208">
        <v>74</v>
      </c>
      <c r="AA23" s="207">
        <v>25</v>
      </c>
      <c r="AB23" s="208">
        <v>13</v>
      </c>
      <c r="AC23" s="208">
        <v>28</v>
      </c>
      <c r="AD23" s="208">
        <v>14</v>
      </c>
      <c r="AE23" s="208">
        <v>28</v>
      </c>
      <c r="AF23" s="362" t="s">
        <v>386</v>
      </c>
      <c r="AG23" s="363" t="s">
        <v>386</v>
      </c>
      <c r="AH23" s="363" t="s">
        <v>386</v>
      </c>
      <c r="AI23" s="363" t="s">
        <v>386</v>
      </c>
      <c r="AJ23" s="364" t="s">
        <v>386</v>
      </c>
      <c r="AK23" s="208">
        <v>1712.03</v>
      </c>
      <c r="AL23" s="208">
        <v>1349.1499999999999</v>
      </c>
      <c r="AM23" s="208">
        <v>2138.2399999999998</v>
      </c>
      <c r="AN23" s="208">
        <v>1774.93</v>
      </c>
      <c r="AO23" s="208">
        <v>1527.3999999999999</v>
      </c>
      <c r="AP23" s="207">
        <v>2005.82</v>
      </c>
      <c r="AQ23" s="208">
        <v>1967.1</v>
      </c>
      <c r="AR23" s="208">
        <v>2477.91</v>
      </c>
      <c r="AS23" s="208">
        <v>2117.42</v>
      </c>
      <c r="AT23" s="209">
        <v>1737.84</v>
      </c>
      <c r="AU23" s="208">
        <v>1686</v>
      </c>
      <c r="AV23" s="208">
        <v>1613.6</v>
      </c>
      <c r="AW23" s="208">
        <v>1899</v>
      </c>
      <c r="AX23" s="208">
        <v>3126</v>
      </c>
      <c r="AY23" s="208">
        <v>1851.9</v>
      </c>
      <c r="AZ23" s="207" t="s">
        <v>386</v>
      </c>
      <c r="BA23" s="208" t="s">
        <v>386</v>
      </c>
      <c r="BB23" s="208" t="s">
        <v>386</v>
      </c>
      <c r="BC23" s="208" t="s">
        <v>386</v>
      </c>
      <c r="BD23" s="209" t="s">
        <v>386</v>
      </c>
      <c r="BE23" s="208" t="s">
        <v>386</v>
      </c>
      <c r="BF23" s="208" t="s">
        <v>386</v>
      </c>
      <c r="BG23" s="208" t="s">
        <v>386</v>
      </c>
      <c r="BH23" s="208" t="s">
        <v>386</v>
      </c>
      <c r="BI23" s="208" t="s">
        <v>386</v>
      </c>
      <c r="BJ23" s="207" t="s">
        <v>386</v>
      </c>
      <c r="BK23" s="208" t="s">
        <v>386</v>
      </c>
      <c r="BL23" s="208" t="s">
        <v>386</v>
      </c>
      <c r="BM23" s="208" t="s">
        <v>386</v>
      </c>
      <c r="BN23" s="209" t="s">
        <v>386</v>
      </c>
      <c r="BO23" s="208" t="s">
        <v>386</v>
      </c>
      <c r="BP23" s="208" t="s">
        <v>386</v>
      </c>
      <c r="BQ23" s="208" t="s">
        <v>386</v>
      </c>
      <c r="BR23" s="208" t="s">
        <v>386</v>
      </c>
      <c r="BS23" s="209" t="s">
        <v>386</v>
      </c>
      <c r="BT23" s="208" t="s">
        <v>386</v>
      </c>
      <c r="BU23" s="208" t="s">
        <v>386</v>
      </c>
      <c r="BV23" s="208" t="s">
        <v>386</v>
      </c>
      <c r="BW23" s="208" t="s">
        <v>386</v>
      </c>
      <c r="BX23" s="209" t="s">
        <v>386</v>
      </c>
      <c r="BY23" s="208" t="s">
        <v>386</v>
      </c>
      <c r="BZ23" s="208" t="s">
        <v>386</v>
      </c>
      <c r="CA23" s="208" t="s">
        <v>386</v>
      </c>
      <c r="CB23" s="208" t="s">
        <v>386</v>
      </c>
      <c r="CC23" s="208" t="s">
        <v>386</v>
      </c>
      <c r="CD23" s="207" t="s">
        <v>386</v>
      </c>
      <c r="CE23" s="208" t="s">
        <v>386</v>
      </c>
      <c r="CF23" s="208" t="s">
        <v>386</v>
      </c>
      <c r="CG23" s="208" t="s">
        <v>386</v>
      </c>
      <c r="CH23" s="209" t="s">
        <v>386</v>
      </c>
    </row>
    <row r="24" spans="1:86" x14ac:dyDescent="0.25">
      <c r="A24" s="91" t="s">
        <v>54</v>
      </c>
      <c r="B24" s="207">
        <v>39.209999999999994</v>
      </c>
      <c r="C24" s="208">
        <v>37</v>
      </c>
      <c r="D24" s="208">
        <v>53.29</v>
      </c>
      <c r="E24" s="208">
        <v>64.010000000000005</v>
      </c>
      <c r="F24" s="208">
        <v>54.93</v>
      </c>
      <c r="G24" s="207">
        <v>19.2</v>
      </c>
      <c r="H24" s="208">
        <v>26.3</v>
      </c>
      <c r="I24" s="208">
        <v>18.399999999999999</v>
      </c>
      <c r="J24" s="208">
        <v>37.869999999999997</v>
      </c>
      <c r="K24" s="209">
        <v>23.2</v>
      </c>
      <c r="L24" s="208">
        <v>77.58</v>
      </c>
      <c r="M24" s="208">
        <v>92.5</v>
      </c>
      <c r="N24" s="208">
        <v>74.12</v>
      </c>
      <c r="O24" s="208">
        <v>129.71</v>
      </c>
      <c r="P24" s="208">
        <v>99.839999999999989</v>
      </c>
      <c r="Q24" s="207">
        <v>65.760000000000005</v>
      </c>
      <c r="R24" s="208">
        <v>46.050000000000004</v>
      </c>
      <c r="S24" s="208">
        <v>79.37</v>
      </c>
      <c r="T24" s="208">
        <v>89.029999999999987</v>
      </c>
      <c r="U24" s="209">
        <v>89.43</v>
      </c>
      <c r="V24" s="208">
        <v>41.45</v>
      </c>
      <c r="W24" s="208">
        <v>43.2</v>
      </c>
      <c r="X24" s="208">
        <v>72.06</v>
      </c>
      <c r="Y24" s="208">
        <v>73.25</v>
      </c>
      <c r="Z24" s="208">
        <v>48</v>
      </c>
      <c r="AA24" s="207">
        <v>22.7</v>
      </c>
      <c r="AB24" s="208">
        <v>17.600000000000001</v>
      </c>
      <c r="AC24" s="208">
        <v>21.47</v>
      </c>
      <c r="AD24" s="208">
        <v>32.090000000000003</v>
      </c>
      <c r="AE24" s="208">
        <v>24.68</v>
      </c>
      <c r="AF24" s="229">
        <v>25</v>
      </c>
      <c r="AG24" s="220">
        <v>33</v>
      </c>
      <c r="AH24" s="220">
        <v>32</v>
      </c>
      <c r="AI24" s="220">
        <v>63</v>
      </c>
      <c r="AJ24" s="224">
        <v>49</v>
      </c>
      <c r="AK24" s="208">
        <v>1725.3799999999999</v>
      </c>
      <c r="AL24" s="208">
        <v>1524.87</v>
      </c>
      <c r="AM24" s="208">
        <v>1798.65</v>
      </c>
      <c r="AN24" s="208">
        <v>2540.67</v>
      </c>
      <c r="AO24" s="208">
        <v>2099.06</v>
      </c>
      <c r="AP24" s="207">
        <v>1842.08</v>
      </c>
      <c r="AQ24" s="208">
        <v>2010.35</v>
      </c>
      <c r="AR24" s="208">
        <v>1777.11</v>
      </c>
      <c r="AS24" s="208">
        <v>2348.6799999999998</v>
      </c>
      <c r="AT24" s="209">
        <v>1816.74</v>
      </c>
      <c r="AU24" s="208">
        <v>1600</v>
      </c>
      <c r="AV24" s="208">
        <v>1600</v>
      </c>
      <c r="AW24" s="208">
        <v>2112.87</v>
      </c>
      <c r="AX24" s="208">
        <v>4337.59</v>
      </c>
      <c r="AY24" s="208">
        <v>2828.72</v>
      </c>
      <c r="AZ24" s="207">
        <v>1072</v>
      </c>
      <c r="BA24" s="208">
        <v>976</v>
      </c>
      <c r="BB24" s="208">
        <v>1133</v>
      </c>
      <c r="BC24" s="208">
        <v>2337</v>
      </c>
      <c r="BD24" s="209">
        <v>1434.27</v>
      </c>
      <c r="BE24" s="208">
        <v>1139</v>
      </c>
      <c r="BF24" s="208">
        <v>630.4</v>
      </c>
      <c r="BG24" s="208">
        <v>1156</v>
      </c>
      <c r="BH24" s="208">
        <v>980</v>
      </c>
      <c r="BI24" s="208">
        <v>947</v>
      </c>
      <c r="BJ24" s="207">
        <v>612</v>
      </c>
      <c r="BK24" s="208">
        <v>645</v>
      </c>
      <c r="BL24" s="208">
        <v>514</v>
      </c>
      <c r="BM24" s="208">
        <v>826</v>
      </c>
      <c r="BN24" s="209">
        <v>685</v>
      </c>
      <c r="BO24" s="208">
        <v>1339</v>
      </c>
      <c r="BP24" s="208">
        <v>1188</v>
      </c>
      <c r="BQ24" s="208">
        <v>1428</v>
      </c>
      <c r="BR24" s="208">
        <v>2055</v>
      </c>
      <c r="BS24" s="209">
        <v>1705</v>
      </c>
      <c r="BT24" s="208" t="s">
        <v>386</v>
      </c>
      <c r="BU24" s="208" t="s">
        <v>386</v>
      </c>
      <c r="BV24" s="208" t="s">
        <v>386</v>
      </c>
      <c r="BW24" s="208" t="s">
        <v>386</v>
      </c>
      <c r="BX24" s="209" t="s">
        <v>386</v>
      </c>
      <c r="BY24" s="208">
        <v>1152</v>
      </c>
      <c r="BZ24" s="208">
        <v>1152</v>
      </c>
      <c r="CA24" s="208">
        <v>1621</v>
      </c>
      <c r="CB24" s="208">
        <v>3286</v>
      </c>
      <c r="CC24" s="208">
        <v>2143</v>
      </c>
      <c r="CD24" s="207">
        <v>2095.27</v>
      </c>
      <c r="CE24" s="208">
        <v>1190</v>
      </c>
      <c r="CF24" s="208">
        <v>1184</v>
      </c>
      <c r="CG24" s="208">
        <v>2067</v>
      </c>
      <c r="CH24" s="209">
        <v>1881.61</v>
      </c>
    </row>
    <row r="25" spans="1:86" x14ac:dyDescent="0.25">
      <c r="A25" s="91" t="s">
        <v>55</v>
      </c>
      <c r="B25" s="207">
        <v>30.759999999999998</v>
      </c>
      <c r="C25" s="208">
        <v>32.15</v>
      </c>
      <c r="D25" s="208">
        <v>38.61</v>
      </c>
      <c r="E25" s="208">
        <v>36.82</v>
      </c>
      <c r="F25" s="208">
        <v>45.010000000000005</v>
      </c>
      <c r="G25" s="207">
        <v>31.91</v>
      </c>
      <c r="H25" s="208">
        <v>26.6</v>
      </c>
      <c r="I25" s="208">
        <v>27.299999999999997</v>
      </c>
      <c r="J25" s="208">
        <v>37.760000000000005</v>
      </c>
      <c r="K25" s="209">
        <v>38.6</v>
      </c>
      <c r="L25" s="208">
        <v>121.67999999999999</v>
      </c>
      <c r="M25" s="208">
        <v>89.05</v>
      </c>
      <c r="N25" s="208">
        <v>104.03999999999999</v>
      </c>
      <c r="O25" s="208">
        <v>138.28</v>
      </c>
      <c r="P25" s="208">
        <v>147.04</v>
      </c>
      <c r="Q25" s="207">
        <v>53.22</v>
      </c>
      <c r="R25" s="208">
        <v>42.1</v>
      </c>
      <c r="S25" s="208">
        <v>53.03</v>
      </c>
      <c r="T25" s="208">
        <v>50.010000000000005</v>
      </c>
      <c r="U25" s="209">
        <v>40.47</v>
      </c>
      <c r="V25" s="208">
        <v>38.380000000000003</v>
      </c>
      <c r="W25" s="208">
        <v>41.6</v>
      </c>
      <c r="X25" s="208">
        <v>45.38</v>
      </c>
      <c r="Y25" s="208">
        <v>41.6</v>
      </c>
      <c r="Z25" s="208">
        <v>61.61</v>
      </c>
      <c r="AA25" s="207">
        <v>9.6</v>
      </c>
      <c r="AB25" s="208">
        <v>8.8000000000000007</v>
      </c>
      <c r="AC25" s="208">
        <v>10.4</v>
      </c>
      <c r="AD25" s="208">
        <v>9.65</v>
      </c>
      <c r="AE25" s="208">
        <v>10.57</v>
      </c>
      <c r="AF25" s="229">
        <v>58</v>
      </c>
      <c r="AG25" s="220">
        <v>30</v>
      </c>
      <c r="AH25" s="220">
        <v>57</v>
      </c>
      <c r="AI25" s="220">
        <v>74</v>
      </c>
      <c r="AJ25" s="224">
        <v>76</v>
      </c>
      <c r="AK25" s="208">
        <v>1444.9099999999999</v>
      </c>
      <c r="AL25" s="208">
        <v>1156.7</v>
      </c>
      <c r="AM25" s="208">
        <v>1248.6600000000001</v>
      </c>
      <c r="AN25" s="208">
        <v>1905.52</v>
      </c>
      <c r="AO25" s="208">
        <v>1879.63</v>
      </c>
      <c r="AP25" s="207">
        <v>1871.4699999999998</v>
      </c>
      <c r="AQ25" s="208">
        <v>1134.95</v>
      </c>
      <c r="AR25" s="208">
        <v>1025.4000000000001</v>
      </c>
      <c r="AS25" s="208">
        <v>968.42</v>
      </c>
      <c r="AT25" s="209">
        <v>811.90000000000009</v>
      </c>
      <c r="AU25" s="208">
        <v>1369.6</v>
      </c>
      <c r="AV25" s="208">
        <v>1617.6</v>
      </c>
      <c r="AW25" s="208">
        <v>1596.8</v>
      </c>
      <c r="AX25" s="208">
        <v>2884</v>
      </c>
      <c r="AY25" s="208">
        <v>2754</v>
      </c>
      <c r="AZ25" s="207">
        <v>552</v>
      </c>
      <c r="BA25" s="208">
        <v>488</v>
      </c>
      <c r="BB25" s="208">
        <v>665</v>
      </c>
      <c r="BC25" s="208">
        <v>603.55999999999995</v>
      </c>
      <c r="BD25" s="209">
        <v>1484</v>
      </c>
      <c r="BE25" s="208">
        <v>991</v>
      </c>
      <c r="BF25" s="208">
        <v>594</v>
      </c>
      <c r="BG25" s="208">
        <v>1001</v>
      </c>
      <c r="BH25" s="208">
        <v>1030</v>
      </c>
      <c r="BI25" s="208">
        <v>1026</v>
      </c>
      <c r="BJ25" s="207" t="s">
        <v>386</v>
      </c>
      <c r="BK25" s="208" t="s">
        <v>386</v>
      </c>
      <c r="BL25" s="208" t="s">
        <v>386</v>
      </c>
      <c r="BM25" s="208" t="s">
        <v>386</v>
      </c>
      <c r="BN25" s="209" t="s">
        <v>386</v>
      </c>
      <c r="BO25" s="208" t="s">
        <v>386</v>
      </c>
      <c r="BP25" s="208" t="s">
        <v>386</v>
      </c>
      <c r="BQ25" s="208" t="s">
        <v>386</v>
      </c>
      <c r="BR25" s="208" t="s">
        <v>386</v>
      </c>
      <c r="BS25" s="209" t="s">
        <v>386</v>
      </c>
      <c r="BT25" s="208">
        <v>1322</v>
      </c>
      <c r="BU25" s="208">
        <v>1045.5999999999999</v>
      </c>
      <c r="BV25" s="208">
        <v>1162</v>
      </c>
      <c r="BW25" s="208">
        <v>1826</v>
      </c>
      <c r="BX25" s="209">
        <v>1817</v>
      </c>
      <c r="BY25" s="208" t="s">
        <v>386</v>
      </c>
      <c r="BZ25" s="208" t="s">
        <v>386</v>
      </c>
      <c r="CA25" s="208" t="s">
        <v>386</v>
      </c>
      <c r="CB25" s="208" t="s">
        <v>386</v>
      </c>
      <c r="CC25" s="208" t="s">
        <v>386</v>
      </c>
      <c r="CD25" s="207">
        <v>1719</v>
      </c>
      <c r="CE25" s="208">
        <v>1154.4000000000001</v>
      </c>
      <c r="CF25" s="208">
        <v>1154.4000000000001</v>
      </c>
      <c r="CG25" s="208">
        <v>1214</v>
      </c>
      <c r="CH25" s="209">
        <v>2829</v>
      </c>
    </row>
    <row r="26" spans="1:86" x14ac:dyDescent="0.25">
      <c r="A26" s="91" t="s">
        <v>56</v>
      </c>
      <c r="B26" s="207">
        <v>59.129999999999995</v>
      </c>
      <c r="C26" s="208">
        <v>47.699999999999996</v>
      </c>
      <c r="D26" s="208">
        <v>61.37</v>
      </c>
      <c r="E26" s="208">
        <v>61.27</v>
      </c>
      <c r="F26" s="208">
        <v>65.33</v>
      </c>
      <c r="G26" s="207">
        <v>44.96</v>
      </c>
      <c r="H26" s="208">
        <v>36.739999999999995</v>
      </c>
      <c r="I26" s="208">
        <v>43.11</v>
      </c>
      <c r="J26" s="208">
        <v>47.82</v>
      </c>
      <c r="K26" s="209">
        <v>40.93</v>
      </c>
      <c r="L26" s="208">
        <v>187.73999999999998</v>
      </c>
      <c r="M26" s="208">
        <v>147.85</v>
      </c>
      <c r="N26" s="208">
        <v>178.14</v>
      </c>
      <c r="O26" s="208">
        <v>196.16</v>
      </c>
      <c r="P26" s="208">
        <v>192.6</v>
      </c>
      <c r="Q26" s="207">
        <v>64</v>
      </c>
      <c r="R26" s="208">
        <v>57.04</v>
      </c>
      <c r="S26" s="208">
        <v>74.3</v>
      </c>
      <c r="T26" s="208">
        <v>78.790000000000006</v>
      </c>
      <c r="U26" s="209">
        <v>79.319999999999993</v>
      </c>
      <c r="V26" s="208">
        <v>66.92</v>
      </c>
      <c r="W26" s="208">
        <v>63.2</v>
      </c>
      <c r="X26" s="208">
        <v>62.4</v>
      </c>
      <c r="Y26" s="208">
        <v>61.6</v>
      </c>
      <c r="Z26" s="208">
        <v>66.209999999999994</v>
      </c>
      <c r="AA26" s="207">
        <v>17</v>
      </c>
      <c r="AB26" s="208">
        <v>6.4</v>
      </c>
      <c r="AC26" s="208">
        <v>21</v>
      </c>
      <c r="AD26" s="208">
        <v>14</v>
      </c>
      <c r="AE26" s="208">
        <v>20</v>
      </c>
      <c r="AF26" s="229">
        <v>76</v>
      </c>
      <c r="AG26" s="220">
        <v>53</v>
      </c>
      <c r="AH26" s="220">
        <v>81</v>
      </c>
      <c r="AI26" s="220">
        <v>96</v>
      </c>
      <c r="AJ26" s="224">
        <v>95</v>
      </c>
      <c r="AK26" s="208">
        <v>1468</v>
      </c>
      <c r="AL26" s="208">
        <v>1027.2</v>
      </c>
      <c r="AM26" s="208">
        <v>1624</v>
      </c>
      <c r="AN26" s="208">
        <v>1880</v>
      </c>
      <c r="AO26" s="208">
        <v>2597.1</v>
      </c>
      <c r="AP26" s="207">
        <v>1539.18</v>
      </c>
      <c r="AQ26" s="208">
        <v>1161.0999999999999</v>
      </c>
      <c r="AR26" s="208">
        <v>2300.39</v>
      </c>
      <c r="AS26" s="208">
        <v>2218.9</v>
      </c>
      <c r="AT26" s="209">
        <v>2025.6</v>
      </c>
      <c r="AU26" s="208">
        <v>1534.4</v>
      </c>
      <c r="AV26" s="208">
        <v>1534.4</v>
      </c>
      <c r="AW26" s="208">
        <v>1899</v>
      </c>
      <c r="AX26" s="208">
        <v>2948</v>
      </c>
      <c r="AY26" s="208">
        <v>1413.6</v>
      </c>
      <c r="AZ26" s="207" t="s">
        <v>386</v>
      </c>
      <c r="BA26" s="208" t="s">
        <v>386</v>
      </c>
      <c r="BB26" s="208" t="s">
        <v>386</v>
      </c>
      <c r="BC26" s="208" t="s">
        <v>386</v>
      </c>
      <c r="BD26" s="209" t="s">
        <v>386</v>
      </c>
      <c r="BE26" s="208" t="s">
        <v>386</v>
      </c>
      <c r="BF26" s="208" t="s">
        <v>386</v>
      </c>
      <c r="BG26" s="208" t="s">
        <v>386</v>
      </c>
      <c r="BH26" s="208" t="s">
        <v>386</v>
      </c>
      <c r="BI26" s="208" t="s">
        <v>386</v>
      </c>
      <c r="BJ26" s="207" t="s">
        <v>386</v>
      </c>
      <c r="BK26" s="208" t="s">
        <v>386</v>
      </c>
      <c r="BL26" s="208" t="s">
        <v>386</v>
      </c>
      <c r="BM26" s="208" t="s">
        <v>386</v>
      </c>
      <c r="BN26" s="209" t="s">
        <v>386</v>
      </c>
      <c r="BO26" s="208" t="s">
        <v>386</v>
      </c>
      <c r="BP26" s="208" t="s">
        <v>386</v>
      </c>
      <c r="BQ26" s="208" t="s">
        <v>386</v>
      </c>
      <c r="BR26" s="208" t="s">
        <v>386</v>
      </c>
      <c r="BS26" s="209" t="s">
        <v>386</v>
      </c>
      <c r="BT26" s="208" t="s">
        <v>386</v>
      </c>
      <c r="BU26" s="208" t="s">
        <v>386</v>
      </c>
      <c r="BV26" s="208" t="s">
        <v>386</v>
      </c>
      <c r="BW26" s="208" t="s">
        <v>386</v>
      </c>
      <c r="BX26" s="209" t="s">
        <v>386</v>
      </c>
      <c r="BY26" s="208" t="s">
        <v>386</v>
      </c>
      <c r="BZ26" s="208" t="s">
        <v>386</v>
      </c>
      <c r="CA26" s="208" t="s">
        <v>386</v>
      </c>
      <c r="CB26" s="208" t="s">
        <v>386</v>
      </c>
      <c r="CC26" s="208" t="s">
        <v>386</v>
      </c>
      <c r="CD26" s="207" t="s">
        <v>386</v>
      </c>
      <c r="CE26" s="208" t="s">
        <v>386</v>
      </c>
      <c r="CF26" s="208" t="s">
        <v>386</v>
      </c>
      <c r="CG26" s="208" t="s">
        <v>386</v>
      </c>
      <c r="CH26" s="209" t="s">
        <v>386</v>
      </c>
    </row>
    <row r="27" spans="1:86" x14ac:dyDescent="0.25">
      <c r="A27" s="91" t="s">
        <v>57</v>
      </c>
      <c r="B27" s="207">
        <v>40.879999999999995</v>
      </c>
      <c r="C27" s="208">
        <v>35.75</v>
      </c>
      <c r="D27" s="208">
        <v>47.44</v>
      </c>
      <c r="E27" s="208">
        <v>55.24</v>
      </c>
      <c r="F27" s="208">
        <v>60.2</v>
      </c>
      <c r="G27" s="207">
        <v>33.94</v>
      </c>
      <c r="H27" s="208">
        <v>25.2</v>
      </c>
      <c r="I27" s="208">
        <v>27.76</v>
      </c>
      <c r="J27" s="208">
        <v>38.78</v>
      </c>
      <c r="K27" s="209">
        <v>36.799999999999997</v>
      </c>
      <c r="L27" s="208">
        <v>123.69</v>
      </c>
      <c r="M27" s="208">
        <v>91.25</v>
      </c>
      <c r="N27" s="208">
        <v>105.96</v>
      </c>
      <c r="O27" s="208">
        <v>145.44999999999999</v>
      </c>
      <c r="P27" s="208">
        <v>150.03</v>
      </c>
      <c r="Q27" s="207">
        <v>53.980000000000004</v>
      </c>
      <c r="R27" s="208">
        <v>53.25</v>
      </c>
      <c r="S27" s="208">
        <v>64.349999999999994</v>
      </c>
      <c r="T27" s="208">
        <v>71.42</v>
      </c>
      <c r="U27" s="209">
        <v>87.44</v>
      </c>
      <c r="V27" s="208">
        <v>51.27</v>
      </c>
      <c r="W27" s="208">
        <v>60.8</v>
      </c>
      <c r="X27" s="208">
        <v>75.63</v>
      </c>
      <c r="Y27" s="208">
        <v>96.1</v>
      </c>
      <c r="Z27" s="208">
        <v>111.59</v>
      </c>
      <c r="AA27" s="207">
        <v>14</v>
      </c>
      <c r="AB27" s="208">
        <v>12</v>
      </c>
      <c r="AC27" s="208">
        <v>12</v>
      </c>
      <c r="AD27" s="208">
        <v>13.69</v>
      </c>
      <c r="AE27" s="208">
        <v>20.03</v>
      </c>
      <c r="AF27" s="229">
        <v>50</v>
      </c>
      <c r="AG27" s="220">
        <v>24</v>
      </c>
      <c r="AH27" s="220">
        <v>49</v>
      </c>
      <c r="AI27" s="220">
        <v>72</v>
      </c>
      <c r="AJ27" s="224">
        <v>75</v>
      </c>
      <c r="AK27" s="208">
        <v>1201.25</v>
      </c>
      <c r="AL27" s="208">
        <v>920.8</v>
      </c>
      <c r="AM27" s="208">
        <v>1634</v>
      </c>
      <c r="AN27" s="208">
        <v>1879.63</v>
      </c>
      <c r="AO27" s="208">
        <v>2300</v>
      </c>
      <c r="AP27" s="207">
        <v>1683.3700000000001</v>
      </c>
      <c r="AQ27" s="208">
        <v>1232.21</v>
      </c>
      <c r="AR27" s="208">
        <v>1957.3</v>
      </c>
      <c r="AS27" s="208">
        <v>1806.09</v>
      </c>
      <c r="AT27" s="209">
        <v>2222.7600000000002</v>
      </c>
      <c r="AU27" s="208">
        <v>1390.4</v>
      </c>
      <c r="AV27" s="208">
        <v>1401.6</v>
      </c>
      <c r="AW27" s="208">
        <v>1550</v>
      </c>
      <c r="AX27" s="208">
        <v>2884</v>
      </c>
      <c r="AY27" s="208">
        <v>1288</v>
      </c>
      <c r="AZ27" s="207" t="s">
        <v>386</v>
      </c>
      <c r="BA27" s="208" t="s">
        <v>386</v>
      </c>
      <c r="BB27" s="208" t="s">
        <v>386</v>
      </c>
      <c r="BC27" s="208" t="s">
        <v>386</v>
      </c>
      <c r="BD27" s="209" t="s">
        <v>386</v>
      </c>
      <c r="BE27" s="208" t="s">
        <v>386</v>
      </c>
      <c r="BF27" s="208" t="s">
        <v>386</v>
      </c>
      <c r="BG27" s="208" t="s">
        <v>386</v>
      </c>
      <c r="BH27" s="208" t="s">
        <v>386</v>
      </c>
      <c r="BI27" s="208" t="s">
        <v>386</v>
      </c>
      <c r="BJ27" s="207">
        <v>609.6</v>
      </c>
      <c r="BK27" s="208">
        <v>609.6</v>
      </c>
      <c r="BL27" s="208">
        <v>609.6</v>
      </c>
      <c r="BM27" s="208">
        <v>624</v>
      </c>
      <c r="BN27" s="209">
        <v>763</v>
      </c>
      <c r="BO27" s="208" t="s">
        <v>386</v>
      </c>
      <c r="BP27" s="208" t="s">
        <v>386</v>
      </c>
      <c r="BQ27" s="208" t="s">
        <v>386</v>
      </c>
      <c r="BR27" s="208" t="s">
        <v>386</v>
      </c>
      <c r="BS27" s="209" t="s">
        <v>386</v>
      </c>
      <c r="BT27" s="208" t="s">
        <v>386</v>
      </c>
      <c r="BU27" s="208" t="s">
        <v>386</v>
      </c>
      <c r="BV27" s="208" t="s">
        <v>386</v>
      </c>
      <c r="BW27" s="208" t="s">
        <v>386</v>
      </c>
      <c r="BX27" s="209" t="s">
        <v>386</v>
      </c>
      <c r="BY27" s="208">
        <v>1108.8</v>
      </c>
      <c r="BZ27" s="208">
        <v>1108.8</v>
      </c>
      <c r="CA27" s="208">
        <v>1189</v>
      </c>
      <c r="CB27" s="208">
        <v>2185</v>
      </c>
      <c r="CC27" s="208">
        <v>1108.8</v>
      </c>
      <c r="CD27" s="207" t="s">
        <v>386</v>
      </c>
      <c r="CE27" s="208" t="s">
        <v>386</v>
      </c>
      <c r="CF27" s="208" t="s">
        <v>386</v>
      </c>
      <c r="CG27" s="208" t="s">
        <v>386</v>
      </c>
      <c r="CH27" s="209" t="s">
        <v>386</v>
      </c>
    </row>
    <row r="28" spans="1:86" x14ac:dyDescent="0.25">
      <c r="A28" s="91" t="s">
        <v>58</v>
      </c>
      <c r="B28" s="207">
        <v>49.07</v>
      </c>
      <c r="C28" s="208">
        <v>36.85</v>
      </c>
      <c r="D28" s="208">
        <v>54.62</v>
      </c>
      <c r="E28" s="208">
        <v>52.72</v>
      </c>
      <c r="F28" s="208">
        <v>61.33</v>
      </c>
      <c r="G28" s="207">
        <v>32.75</v>
      </c>
      <c r="H28" s="208">
        <v>27.6</v>
      </c>
      <c r="I28" s="208">
        <v>36.82</v>
      </c>
      <c r="J28" s="208">
        <v>34.900000000000006</v>
      </c>
      <c r="K28" s="209">
        <v>41.26</v>
      </c>
      <c r="L28" s="208">
        <v>115.78</v>
      </c>
      <c r="M28" s="208">
        <v>91.7</v>
      </c>
      <c r="N28" s="208">
        <v>123.82</v>
      </c>
      <c r="O28" s="208">
        <v>126.42</v>
      </c>
      <c r="P28" s="208">
        <v>142.13999999999999</v>
      </c>
      <c r="Q28" s="207">
        <v>66.47</v>
      </c>
      <c r="R28" s="208">
        <v>52.05</v>
      </c>
      <c r="S28" s="208">
        <v>70.94</v>
      </c>
      <c r="T28" s="208">
        <v>64.22</v>
      </c>
      <c r="U28" s="209">
        <v>66.28</v>
      </c>
      <c r="V28" s="208">
        <v>94.01</v>
      </c>
      <c r="W28" s="208">
        <v>54.4</v>
      </c>
      <c r="X28" s="208">
        <v>94.98</v>
      </c>
      <c r="Y28" s="208">
        <v>80.88</v>
      </c>
      <c r="Z28" s="208">
        <v>109.71</v>
      </c>
      <c r="AA28" s="207">
        <v>29.19</v>
      </c>
      <c r="AB28" s="208">
        <v>16.8</v>
      </c>
      <c r="AC28" s="208">
        <v>26.85</v>
      </c>
      <c r="AD28" s="208">
        <v>19.03</v>
      </c>
      <c r="AE28" s="208">
        <v>25</v>
      </c>
      <c r="AF28" s="229">
        <v>48</v>
      </c>
      <c r="AG28" s="220">
        <v>20.8</v>
      </c>
      <c r="AH28" s="220">
        <v>57</v>
      </c>
      <c r="AI28" s="220">
        <v>62</v>
      </c>
      <c r="AJ28" s="224">
        <v>70</v>
      </c>
      <c r="AK28" s="208">
        <v>2110.4500000000003</v>
      </c>
      <c r="AL28" s="208">
        <v>1418.5</v>
      </c>
      <c r="AM28" s="208">
        <v>2198.34</v>
      </c>
      <c r="AN28" s="208">
        <v>2222.71</v>
      </c>
      <c r="AO28" s="208">
        <v>2101.1</v>
      </c>
      <c r="AP28" s="207">
        <v>2138.31</v>
      </c>
      <c r="AQ28" s="208">
        <v>1212.7</v>
      </c>
      <c r="AR28" s="208">
        <v>2065.7000000000003</v>
      </c>
      <c r="AS28" s="208">
        <v>1806.13</v>
      </c>
      <c r="AT28" s="209">
        <v>1791.28</v>
      </c>
      <c r="AU28" s="208">
        <v>2622.52</v>
      </c>
      <c r="AV28" s="208">
        <v>1824</v>
      </c>
      <c r="AW28" s="208">
        <v>2696.31</v>
      </c>
      <c r="AX28" s="208">
        <v>2581.56</v>
      </c>
      <c r="AY28" s="208">
        <v>2763.43</v>
      </c>
      <c r="AZ28" s="207">
        <v>1820</v>
      </c>
      <c r="BA28" s="208">
        <v>1112.8</v>
      </c>
      <c r="BB28" s="208">
        <v>1445</v>
      </c>
      <c r="BC28" s="208">
        <v>1391</v>
      </c>
      <c r="BD28" s="209">
        <v>1576</v>
      </c>
      <c r="BE28" s="208" t="s">
        <v>386</v>
      </c>
      <c r="BF28" s="208" t="s">
        <v>386</v>
      </c>
      <c r="BG28" s="208" t="s">
        <v>386</v>
      </c>
      <c r="BH28" s="208" t="s">
        <v>386</v>
      </c>
      <c r="BI28" s="208" t="s">
        <v>386</v>
      </c>
      <c r="BJ28" s="207">
        <v>741</v>
      </c>
      <c r="BK28" s="208">
        <v>615.20000000000005</v>
      </c>
      <c r="BL28" s="208">
        <v>624</v>
      </c>
      <c r="BM28" s="208">
        <v>713</v>
      </c>
      <c r="BN28" s="209">
        <v>681</v>
      </c>
      <c r="BO28" s="208" t="s">
        <v>386</v>
      </c>
      <c r="BP28" s="208" t="s">
        <v>386</v>
      </c>
      <c r="BQ28" s="208" t="s">
        <v>386</v>
      </c>
      <c r="BR28" s="208" t="s">
        <v>386</v>
      </c>
      <c r="BS28" s="209" t="s">
        <v>386</v>
      </c>
      <c r="BT28" s="208" t="s">
        <v>386</v>
      </c>
      <c r="BU28" s="208" t="s">
        <v>386</v>
      </c>
      <c r="BV28" s="208" t="s">
        <v>386</v>
      </c>
      <c r="BW28" s="208" t="s">
        <v>386</v>
      </c>
      <c r="BX28" s="209" t="s">
        <v>386</v>
      </c>
      <c r="BY28" s="208">
        <v>1895</v>
      </c>
      <c r="BZ28" s="208">
        <v>1313.6</v>
      </c>
      <c r="CA28" s="208">
        <v>2069</v>
      </c>
      <c r="CB28" s="208">
        <v>1956</v>
      </c>
      <c r="CC28" s="208">
        <v>2094</v>
      </c>
      <c r="CD28" s="207">
        <v>1719</v>
      </c>
      <c r="CE28" s="208">
        <v>2020</v>
      </c>
      <c r="CF28" s="208">
        <v>1000</v>
      </c>
      <c r="CG28" s="208">
        <v>2638</v>
      </c>
      <c r="CH28" s="209">
        <v>2532</v>
      </c>
    </row>
    <row r="29" spans="1:86" x14ac:dyDescent="0.25">
      <c r="A29" s="91" t="s">
        <v>59</v>
      </c>
      <c r="B29" s="207">
        <v>43.36</v>
      </c>
      <c r="C29" s="208">
        <v>38.35</v>
      </c>
      <c r="D29" s="208">
        <v>52.74</v>
      </c>
      <c r="E29" s="208">
        <v>57.11</v>
      </c>
      <c r="F29" s="208">
        <v>62.5</v>
      </c>
      <c r="G29" s="207">
        <v>31.810000000000002</v>
      </c>
      <c r="H29" s="208">
        <v>26</v>
      </c>
      <c r="I29" s="208">
        <v>30.360000000000003</v>
      </c>
      <c r="J29" s="208">
        <v>42.160000000000004</v>
      </c>
      <c r="K29" s="209">
        <v>33.64</v>
      </c>
      <c r="L29" s="208">
        <v>133.72</v>
      </c>
      <c r="M29" s="208">
        <v>97.7</v>
      </c>
      <c r="N29" s="208">
        <v>121.88</v>
      </c>
      <c r="O29" s="208">
        <v>160.91999999999999</v>
      </c>
      <c r="P29" s="208">
        <v>150.76000000000002</v>
      </c>
      <c r="Q29" s="207">
        <v>68.14</v>
      </c>
      <c r="R29" s="208">
        <v>52.449999999999996</v>
      </c>
      <c r="S29" s="208">
        <v>69.38</v>
      </c>
      <c r="T29" s="208">
        <v>76.61</v>
      </c>
      <c r="U29" s="209">
        <v>85.97</v>
      </c>
      <c r="V29" s="208">
        <v>71.02</v>
      </c>
      <c r="W29" s="208">
        <v>55.2</v>
      </c>
      <c r="X29" s="208">
        <v>87.3</v>
      </c>
      <c r="Y29" s="208">
        <v>68.709999999999994</v>
      </c>
      <c r="Z29" s="208">
        <v>103.32</v>
      </c>
      <c r="AA29" s="207">
        <v>17.78</v>
      </c>
      <c r="AB29" s="208">
        <v>9.6</v>
      </c>
      <c r="AC29" s="208">
        <v>11</v>
      </c>
      <c r="AD29" s="208">
        <v>16.2</v>
      </c>
      <c r="AE29" s="208">
        <v>20</v>
      </c>
      <c r="AF29" s="229">
        <v>53</v>
      </c>
      <c r="AG29" s="220">
        <v>20.8</v>
      </c>
      <c r="AH29" s="220">
        <v>54</v>
      </c>
      <c r="AI29" s="220">
        <v>79</v>
      </c>
      <c r="AJ29" s="224">
        <v>81</v>
      </c>
      <c r="AK29" s="208">
        <v>1370.06</v>
      </c>
      <c r="AL29" s="208">
        <v>1114.6499999999999</v>
      </c>
      <c r="AM29" s="208">
        <v>2033.04</v>
      </c>
      <c r="AN29" s="208">
        <v>2146.0300000000002</v>
      </c>
      <c r="AO29" s="208">
        <v>2270.02</v>
      </c>
      <c r="AP29" s="207">
        <v>2217.64</v>
      </c>
      <c r="AQ29" s="208">
        <v>1583.1000000000001</v>
      </c>
      <c r="AR29" s="208">
        <v>2269.44</v>
      </c>
      <c r="AS29" s="208">
        <v>2137.3500000000004</v>
      </c>
      <c r="AT29" s="209">
        <v>1749.1100000000001</v>
      </c>
      <c r="AU29" s="208">
        <v>1517</v>
      </c>
      <c r="AV29" s="208">
        <v>1336</v>
      </c>
      <c r="AW29" s="208">
        <v>1919</v>
      </c>
      <c r="AX29" s="208">
        <v>2884</v>
      </c>
      <c r="AY29" s="208">
        <v>2006</v>
      </c>
      <c r="AZ29" s="207">
        <v>1053</v>
      </c>
      <c r="BA29" s="208">
        <v>544</v>
      </c>
      <c r="BB29" s="208">
        <v>1029</v>
      </c>
      <c r="BC29" s="208">
        <v>1554</v>
      </c>
      <c r="BD29" s="209">
        <v>1081</v>
      </c>
      <c r="BE29" s="208" t="s">
        <v>386</v>
      </c>
      <c r="BF29" s="208" t="s">
        <v>386</v>
      </c>
      <c r="BG29" s="208" t="s">
        <v>386</v>
      </c>
      <c r="BH29" s="208" t="s">
        <v>386</v>
      </c>
      <c r="BI29" s="208" t="s">
        <v>386</v>
      </c>
      <c r="BJ29" s="207">
        <v>609.6</v>
      </c>
      <c r="BK29" s="208">
        <v>609.6</v>
      </c>
      <c r="BL29" s="208">
        <v>609.6</v>
      </c>
      <c r="BM29" s="208">
        <v>699</v>
      </c>
      <c r="BN29" s="209">
        <v>744</v>
      </c>
      <c r="BO29" s="208" t="s">
        <v>386</v>
      </c>
      <c r="BP29" s="208" t="s">
        <v>386</v>
      </c>
      <c r="BQ29" s="208" t="s">
        <v>386</v>
      </c>
      <c r="BR29" s="208" t="s">
        <v>386</v>
      </c>
      <c r="BS29" s="209" t="s">
        <v>386</v>
      </c>
      <c r="BT29" s="208" t="s">
        <v>386</v>
      </c>
      <c r="BU29" s="208" t="s">
        <v>386</v>
      </c>
      <c r="BV29" s="208" t="s">
        <v>386</v>
      </c>
      <c r="BW29" s="208" t="s">
        <v>386</v>
      </c>
      <c r="BX29" s="209" t="s">
        <v>386</v>
      </c>
      <c r="BY29" s="208" t="s">
        <v>386</v>
      </c>
      <c r="BZ29" s="208" t="s">
        <v>386</v>
      </c>
      <c r="CA29" s="208" t="s">
        <v>386</v>
      </c>
      <c r="CB29" s="208" t="s">
        <v>386</v>
      </c>
      <c r="CC29" s="208" t="s">
        <v>386</v>
      </c>
      <c r="CD29" s="207" t="s">
        <v>386</v>
      </c>
      <c r="CE29" s="208" t="s">
        <v>386</v>
      </c>
      <c r="CF29" s="208" t="s">
        <v>386</v>
      </c>
      <c r="CG29" s="208" t="s">
        <v>386</v>
      </c>
      <c r="CH29" s="209" t="s">
        <v>386</v>
      </c>
    </row>
    <row r="30" spans="1:86" x14ac:dyDescent="0.25">
      <c r="A30" s="91" t="s">
        <v>60</v>
      </c>
      <c r="B30" s="207">
        <v>33.470000000000006</v>
      </c>
      <c r="C30" s="208">
        <v>25.95</v>
      </c>
      <c r="D30" s="208">
        <v>35.67</v>
      </c>
      <c r="E30" s="208">
        <v>33.989999999999995</v>
      </c>
      <c r="F30" s="208">
        <v>43.92</v>
      </c>
      <c r="G30" s="207" t="s">
        <v>386</v>
      </c>
      <c r="H30" s="208" t="s">
        <v>386</v>
      </c>
      <c r="I30" s="208" t="s">
        <v>386</v>
      </c>
      <c r="J30" s="208" t="s">
        <v>386</v>
      </c>
      <c r="K30" s="209" t="s">
        <v>386</v>
      </c>
      <c r="L30" s="208">
        <v>80</v>
      </c>
      <c r="M30" s="208">
        <v>80</v>
      </c>
      <c r="N30" s="208">
        <v>80</v>
      </c>
      <c r="O30" s="208">
        <v>76</v>
      </c>
      <c r="P30" s="208">
        <v>76</v>
      </c>
      <c r="Q30" s="207">
        <v>52.14</v>
      </c>
      <c r="R30" s="208">
        <v>37.85</v>
      </c>
      <c r="S30" s="208">
        <v>66.760000000000005</v>
      </c>
      <c r="T30" s="208">
        <v>55.07</v>
      </c>
      <c r="U30" s="209">
        <v>75.38</v>
      </c>
      <c r="V30" s="208">
        <v>61</v>
      </c>
      <c r="W30" s="208">
        <v>40.799999999999997</v>
      </c>
      <c r="X30" s="208">
        <v>59</v>
      </c>
      <c r="Y30" s="208">
        <v>53</v>
      </c>
      <c r="Z30" s="208">
        <v>68</v>
      </c>
      <c r="AA30" s="207">
        <v>20.9</v>
      </c>
      <c r="AB30" s="208">
        <v>16.8</v>
      </c>
      <c r="AC30" s="208">
        <v>19.59</v>
      </c>
      <c r="AD30" s="208">
        <v>16.8</v>
      </c>
      <c r="AE30" s="208">
        <v>16</v>
      </c>
      <c r="AF30" s="229">
        <v>34</v>
      </c>
      <c r="AG30" s="220">
        <v>20.8</v>
      </c>
      <c r="AH30" s="220">
        <v>33</v>
      </c>
      <c r="AI30" s="220">
        <v>106</v>
      </c>
      <c r="AJ30" s="224">
        <v>95</v>
      </c>
      <c r="AK30" s="208">
        <v>1646.66</v>
      </c>
      <c r="AL30" s="208">
        <v>1168.95</v>
      </c>
      <c r="AM30" s="208">
        <v>1513.87</v>
      </c>
      <c r="AN30" s="208">
        <v>1526.7199999999998</v>
      </c>
      <c r="AO30" s="208">
        <v>1839.3300000000002</v>
      </c>
      <c r="AP30" s="207">
        <v>1593</v>
      </c>
      <c r="AQ30" s="208">
        <v>1367</v>
      </c>
      <c r="AR30" s="208">
        <v>1740</v>
      </c>
      <c r="AS30" s="208">
        <v>1919</v>
      </c>
      <c r="AT30" s="209">
        <v>1439</v>
      </c>
      <c r="AU30" s="208">
        <v>1212</v>
      </c>
      <c r="AV30" s="208">
        <v>1212</v>
      </c>
      <c r="AW30" s="208">
        <v>1555.27</v>
      </c>
      <c r="AX30" s="208">
        <v>1726.79</v>
      </c>
      <c r="AY30" s="208">
        <v>2498.66</v>
      </c>
      <c r="AZ30" s="207">
        <v>1384.32</v>
      </c>
      <c r="BA30" s="208">
        <v>881.6</v>
      </c>
      <c r="BB30" s="208">
        <v>1032.97</v>
      </c>
      <c r="BC30" s="208">
        <v>1214.33</v>
      </c>
      <c r="BD30" s="209">
        <v>1552.92</v>
      </c>
      <c r="BE30" s="208">
        <v>908</v>
      </c>
      <c r="BF30" s="208">
        <v>703.2</v>
      </c>
      <c r="BG30" s="208">
        <v>975</v>
      </c>
      <c r="BH30" s="208">
        <v>1028</v>
      </c>
      <c r="BI30" s="208">
        <v>1087</v>
      </c>
      <c r="BJ30" s="207">
        <v>654.4</v>
      </c>
      <c r="BK30" s="208">
        <v>661.6</v>
      </c>
      <c r="BL30" s="208">
        <v>607.20000000000005</v>
      </c>
      <c r="BM30" s="208">
        <v>607.20000000000005</v>
      </c>
      <c r="BN30" s="209">
        <v>607.20000000000005</v>
      </c>
      <c r="BO30" s="208" t="s">
        <v>386</v>
      </c>
      <c r="BP30" s="208" t="s">
        <v>386</v>
      </c>
      <c r="BQ30" s="208" t="s">
        <v>386</v>
      </c>
      <c r="BR30" s="208" t="s">
        <v>386</v>
      </c>
      <c r="BS30" s="209" t="s">
        <v>386</v>
      </c>
      <c r="BT30" s="208" t="s">
        <v>386</v>
      </c>
      <c r="BU30" s="208" t="s">
        <v>386</v>
      </c>
      <c r="BV30" s="208" t="s">
        <v>386</v>
      </c>
      <c r="BW30" s="208" t="s">
        <v>386</v>
      </c>
      <c r="BX30" s="209" t="s">
        <v>386</v>
      </c>
      <c r="BY30" s="208">
        <v>872.8</v>
      </c>
      <c r="BZ30" s="208">
        <v>872.8</v>
      </c>
      <c r="CA30" s="208">
        <v>1193</v>
      </c>
      <c r="CB30" s="208">
        <v>1308</v>
      </c>
      <c r="CC30" s="208">
        <v>2303</v>
      </c>
      <c r="CD30" s="207" t="s">
        <v>386</v>
      </c>
      <c r="CE30" s="208" t="s">
        <v>386</v>
      </c>
      <c r="CF30" s="208" t="s">
        <v>386</v>
      </c>
      <c r="CG30" s="208" t="s">
        <v>386</v>
      </c>
      <c r="CH30" s="209" t="s">
        <v>386</v>
      </c>
    </row>
    <row r="31" spans="1:86" x14ac:dyDescent="0.25">
      <c r="A31" s="91" t="s">
        <v>61</v>
      </c>
      <c r="B31" s="207">
        <v>55.93</v>
      </c>
      <c r="C31" s="208">
        <v>41.050000000000004</v>
      </c>
      <c r="D31" s="208">
        <v>56.23</v>
      </c>
      <c r="E31" s="208">
        <v>53.44</v>
      </c>
      <c r="F31" s="208">
        <v>67.709999999999994</v>
      </c>
      <c r="G31" s="207">
        <v>30.47</v>
      </c>
      <c r="H31" s="208">
        <v>28.4</v>
      </c>
      <c r="I31" s="208">
        <v>29.790000000000003</v>
      </c>
      <c r="J31" s="208">
        <v>40.830000000000005</v>
      </c>
      <c r="K31" s="209">
        <v>35.33</v>
      </c>
      <c r="L31" s="208">
        <v>115.84</v>
      </c>
      <c r="M31" s="208">
        <v>100</v>
      </c>
      <c r="N31" s="208">
        <v>103.61</v>
      </c>
      <c r="O31" s="208">
        <v>148.5</v>
      </c>
      <c r="P31" s="208">
        <v>119.56</v>
      </c>
      <c r="Q31" s="207">
        <v>81.75</v>
      </c>
      <c r="R31" s="208">
        <v>55.95</v>
      </c>
      <c r="S31" s="208">
        <v>73.91</v>
      </c>
      <c r="T31" s="208">
        <v>77.820000000000007</v>
      </c>
      <c r="U31" s="209">
        <v>110.53</v>
      </c>
      <c r="V31" s="208">
        <v>73.34</v>
      </c>
      <c r="W31" s="208">
        <v>55.2</v>
      </c>
      <c r="X31" s="208">
        <v>71.010000000000005</v>
      </c>
      <c r="Y31" s="208">
        <v>72.569999999999993</v>
      </c>
      <c r="Z31" s="208">
        <v>80.77</v>
      </c>
      <c r="AA31" s="207">
        <v>24.46</v>
      </c>
      <c r="AB31" s="208">
        <v>16</v>
      </c>
      <c r="AC31" s="208">
        <v>21.49</v>
      </c>
      <c r="AD31" s="208">
        <v>22.07</v>
      </c>
      <c r="AE31" s="208">
        <v>23.51</v>
      </c>
      <c r="AF31" s="229">
        <v>47</v>
      </c>
      <c r="AG31" s="220">
        <v>21</v>
      </c>
      <c r="AH31" s="220">
        <v>48</v>
      </c>
      <c r="AI31" s="220">
        <v>74</v>
      </c>
      <c r="AJ31" s="224">
        <v>60</v>
      </c>
      <c r="AK31" s="208">
        <v>2313.12</v>
      </c>
      <c r="AL31" s="208">
        <v>1475.1499999999999</v>
      </c>
      <c r="AM31" s="208">
        <v>1710.77</v>
      </c>
      <c r="AN31" s="208">
        <v>2034.21</v>
      </c>
      <c r="AO31" s="208">
        <v>2173.5500000000002</v>
      </c>
      <c r="AP31" s="207">
        <v>1992.61</v>
      </c>
      <c r="AQ31" s="208">
        <v>1368.36</v>
      </c>
      <c r="AR31" s="208">
        <v>2037.85</v>
      </c>
      <c r="AS31" s="208">
        <v>2478.94</v>
      </c>
      <c r="AT31" s="209">
        <v>1657.44</v>
      </c>
      <c r="AU31" s="208">
        <v>2232.39</v>
      </c>
      <c r="AV31" s="208">
        <v>1923.2</v>
      </c>
      <c r="AW31" s="208">
        <v>2046.89</v>
      </c>
      <c r="AX31" s="208">
        <v>1983.2</v>
      </c>
      <c r="AY31" s="208">
        <v>2863.53</v>
      </c>
      <c r="AZ31" s="207">
        <v>2042.89</v>
      </c>
      <c r="BA31" s="208">
        <v>1262.4000000000001</v>
      </c>
      <c r="BB31" s="208">
        <v>1208</v>
      </c>
      <c r="BC31" s="208">
        <v>1208</v>
      </c>
      <c r="BD31" s="209">
        <v>1575.73</v>
      </c>
      <c r="BE31" s="208">
        <v>934</v>
      </c>
      <c r="BF31" s="208">
        <v>609</v>
      </c>
      <c r="BG31" s="208">
        <v>1003</v>
      </c>
      <c r="BH31" s="208">
        <v>998</v>
      </c>
      <c r="BI31" s="208">
        <v>1015</v>
      </c>
      <c r="BJ31" s="207">
        <v>815</v>
      </c>
      <c r="BK31" s="208">
        <v>688.8</v>
      </c>
      <c r="BL31" s="208">
        <v>614.4</v>
      </c>
      <c r="BM31" s="208">
        <v>650</v>
      </c>
      <c r="BN31" s="209">
        <v>704</v>
      </c>
      <c r="BO31" s="208">
        <v>1785</v>
      </c>
      <c r="BP31" s="208">
        <v>856.8</v>
      </c>
      <c r="BQ31" s="208">
        <v>1329</v>
      </c>
      <c r="BR31" s="208">
        <v>1617</v>
      </c>
      <c r="BS31" s="209">
        <v>1753</v>
      </c>
      <c r="BT31" s="208">
        <v>2129</v>
      </c>
      <c r="BU31" s="208">
        <v>1113.5999999999999</v>
      </c>
      <c r="BV31" s="208">
        <v>1585</v>
      </c>
      <c r="BW31" s="208">
        <v>1929</v>
      </c>
      <c r="BX31" s="209">
        <v>2091</v>
      </c>
      <c r="BY31" s="208">
        <v>1613</v>
      </c>
      <c r="BZ31" s="208">
        <v>1384.8</v>
      </c>
      <c r="CA31" s="208">
        <v>1570</v>
      </c>
      <c r="CB31" s="208">
        <v>1403</v>
      </c>
      <c r="CC31" s="208">
        <v>2170</v>
      </c>
      <c r="CD31" s="207">
        <v>1719</v>
      </c>
      <c r="CE31" s="208">
        <v>1720</v>
      </c>
      <c r="CF31" s="208">
        <v>1123.2</v>
      </c>
      <c r="CG31" s="208">
        <v>2003</v>
      </c>
      <c r="CH31" s="209">
        <v>1817</v>
      </c>
    </row>
    <row r="32" spans="1:86" x14ac:dyDescent="0.25">
      <c r="A32" s="91" t="s">
        <v>62</v>
      </c>
      <c r="B32" s="207">
        <v>48.08</v>
      </c>
      <c r="C32" s="208">
        <v>32.6</v>
      </c>
      <c r="D32" s="208">
        <v>50.75</v>
      </c>
      <c r="E32" s="208">
        <v>38.160000000000004</v>
      </c>
      <c r="F32" s="208">
        <v>60.99</v>
      </c>
      <c r="G32" s="207">
        <v>29.13</v>
      </c>
      <c r="H32" s="208">
        <v>23.2</v>
      </c>
      <c r="I32" s="208">
        <v>27.67</v>
      </c>
      <c r="J32" s="208">
        <v>27.03</v>
      </c>
      <c r="K32" s="209">
        <v>27.82</v>
      </c>
      <c r="L32" s="208">
        <v>100.67999999999999</v>
      </c>
      <c r="M32" s="208">
        <v>84.050000000000011</v>
      </c>
      <c r="N32" s="208">
        <v>94.45</v>
      </c>
      <c r="O32" s="208">
        <v>105.84</v>
      </c>
      <c r="P32" s="208">
        <v>97.98</v>
      </c>
      <c r="Q32" s="207">
        <v>64.53</v>
      </c>
      <c r="R32" s="208">
        <v>47.4</v>
      </c>
      <c r="S32" s="208">
        <v>70.7</v>
      </c>
      <c r="T32" s="208">
        <v>40.44</v>
      </c>
      <c r="U32" s="209">
        <v>84.95</v>
      </c>
      <c r="V32" s="208">
        <v>55.25</v>
      </c>
      <c r="W32" s="208">
        <v>44</v>
      </c>
      <c r="X32" s="208">
        <v>72.260000000000005</v>
      </c>
      <c r="Y32" s="208">
        <v>58.93</v>
      </c>
      <c r="Z32" s="208">
        <v>95.89</v>
      </c>
      <c r="AA32" s="207">
        <v>25.6</v>
      </c>
      <c r="AB32" s="208">
        <v>16</v>
      </c>
      <c r="AC32" s="208">
        <v>24.77</v>
      </c>
      <c r="AD32" s="208">
        <v>19</v>
      </c>
      <c r="AE32" s="208">
        <v>23</v>
      </c>
      <c r="AF32" s="229">
        <v>41</v>
      </c>
      <c r="AG32" s="220">
        <v>20.8</v>
      </c>
      <c r="AH32" s="220">
        <v>44</v>
      </c>
      <c r="AI32" s="220">
        <v>54</v>
      </c>
      <c r="AJ32" s="224">
        <v>52</v>
      </c>
      <c r="AK32" s="208">
        <v>2071.38</v>
      </c>
      <c r="AL32" s="208">
        <v>1287.2</v>
      </c>
      <c r="AM32" s="208">
        <v>1787.71</v>
      </c>
      <c r="AN32" s="208">
        <v>1479.1000000000001</v>
      </c>
      <c r="AO32" s="208">
        <v>2126.36</v>
      </c>
      <c r="AP32" s="207">
        <v>1941.09</v>
      </c>
      <c r="AQ32" s="208">
        <v>1262.95</v>
      </c>
      <c r="AR32" s="208">
        <v>1967.96</v>
      </c>
      <c r="AS32" s="208">
        <v>1475.51</v>
      </c>
      <c r="AT32" s="209">
        <v>2106.1099999999997</v>
      </c>
      <c r="AU32" s="208">
        <v>2485.09</v>
      </c>
      <c r="AV32" s="208">
        <v>1666.4</v>
      </c>
      <c r="AW32" s="208">
        <v>2319</v>
      </c>
      <c r="AX32" s="208">
        <v>1769.6</v>
      </c>
      <c r="AY32" s="208">
        <v>2652.07</v>
      </c>
      <c r="AZ32" s="207">
        <v>1725</v>
      </c>
      <c r="BA32" s="208">
        <v>872.8</v>
      </c>
      <c r="BB32" s="208">
        <v>1243</v>
      </c>
      <c r="BC32" s="208">
        <v>910</v>
      </c>
      <c r="BD32" s="209">
        <v>1576</v>
      </c>
      <c r="BE32" s="208">
        <v>964</v>
      </c>
      <c r="BF32" s="208">
        <v>565.6</v>
      </c>
      <c r="BG32" s="208">
        <v>1011</v>
      </c>
      <c r="BH32" s="208">
        <v>1014</v>
      </c>
      <c r="BI32" s="208">
        <v>1041</v>
      </c>
      <c r="BJ32" s="207">
        <v>734</v>
      </c>
      <c r="BK32" s="208">
        <v>615.20000000000005</v>
      </c>
      <c r="BL32" s="208">
        <v>615.20000000000005</v>
      </c>
      <c r="BM32" s="208">
        <v>615.20000000000005</v>
      </c>
      <c r="BN32" s="209">
        <v>692</v>
      </c>
      <c r="BO32" s="208">
        <v>1607</v>
      </c>
      <c r="BP32" s="208">
        <v>1200</v>
      </c>
      <c r="BQ32" s="208">
        <v>1407</v>
      </c>
      <c r="BR32" s="208">
        <v>1200</v>
      </c>
      <c r="BS32" s="209">
        <v>1721</v>
      </c>
      <c r="BT32" s="208" t="s">
        <v>386</v>
      </c>
      <c r="BU32" s="208" t="s">
        <v>386</v>
      </c>
      <c r="BV32" s="208" t="s">
        <v>386</v>
      </c>
      <c r="BW32" s="208" t="s">
        <v>386</v>
      </c>
      <c r="BX32" s="209" t="s">
        <v>386</v>
      </c>
      <c r="BY32" s="208" t="s">
        <v>386</v>
      </c>
      <c r="BZ32" s="208" t="s">
        <v>386</v>
      </c>
      <c r="CA32" s="208" t="s">
        <v>386</v>
      </c>
      <c r="CB32" s="208" t="s">
        <v>386</v>
      </c>
      <c r="CC32" s="208" t="s">
        <v>386</v>
      </c>
      <c r="CD32" s="207">
        <v>1719</v>
      </c>
      <c r="CE32" s="208">
        <v>1914</v>
      </c>
      <c r="CF32" s="208">
        <v>974.4</v>
      </c>
      <c r="CG32" s="208">
        <v>2269</v>
      </c>
      <c r="CH32" s="209">
        <v>1656</v>
      </c>
    </row>
    <row r="33" spans="1:86" x14ac:dyDescent="0.25">
      <c r="A33" s="91" t="s">
        <v>63</v>
      </c>
      <c r="B33" s="207">
        <v>43.77</v>
      </c>
      <c r="C33" s="208">
        <v>32.450000000000003</v>
      </c>
      <c r="D33" s="208">
        <v>50.66</v>
      </c>
      <c r="E33" s="208">
        <v>55.46</v>
      </c>
      <c r="F33" s="208">
        <v>56.69</v>
      </c>
      <c r="G33" s="207">
        <v>22.06</v>
      </c>
      <c r="H33" s="208">
        <v>23.2</v>
      </c>
      <c r="I33" s="208">
        <v>28.21</v>
      </c>
      <c r="J33" s="208">
        <v>48.79</v>
      </c>
      <c r="K33" s="209">
        <v>30.84</v>
      </c>
      <c r="L33" s="208">
        <v>90.919999999999987</v>
      </c>
      <c r="M33" s="208">
        <v>77.400000000000006</v>
      </c>
      <c r="N33" s="208">
        <v>89.149999999999991</v>
      </c>
      <c r="O33" s="208">
        <v>149.41999999999999</v>
      </c>
      <c r="P33" s="208">
        <v>109.22</v>
      </c>
      <c r="Q33" s="207">
        <v>65.42</v>
      </c>
      <c r="R33" s="208">
        <v>42.15</v>
      </c>
      <c r="S33" s="208">
        <v>68.77</v>
      </c>
      <c r="T33" s="208">
        <v>72.790000000000006</v>
      </c>
      <c r="U33" s="209">
        <v>79.72</v>
      </c>
      <c r="V33" s="208">
        <v>74.77</v>
      </c>
      <c r="W33" s="208">
        <v>51.2</v>
      </c>
      <c r="X33" s="208">
        <v>77.709999999999994</v>
      </c>
      <c r="Y33" s="208">
        <v>83.16</v>
      </c>
      <c r="Z33" s="208">
        <v>86.02</v>
      </c>
      <c r="AA33" s="207">
        <v>26.75</v>
      </c>
      <c r="AB33" s="208">
        <v>16.8</v>
      </c>
      <c r="AC33" s="208">
        <v>22.92</v>
      </c>
      <c r="AD33" s="208">
        <v>23.11</v>
      </c>
      <c r="AE33" s="208">
        <v>25.34</v>
      </c>
      <c r="AF33" s="229">
        <v>38</v>
      </c>
      <c r="AG33" s="220">
        <v>20.8</v>
      </c>
      <c r="AH33" s="220">
        <v>42</v>
      </c>
      <c r="AI33" s="220">
        <v>74</v>
      </c>
      <c r="AJ33" s="224">
        <v>55</v>
      </c>
      <c r="AK33" s="208">
        <v>1899.22</v>
      </c>
      <c r="AL33" s="208">
        <v>1199.6499999999999</v>
      </c>
      <c r="AM33" s="208">
        <v>2030.43</v>
      </c>
      <c r="AN33" s="208">
        <v>2298.71</v>
      </c>
      <c r="AO33" s="208">
        <v>2039.5600000000002</v>
      </c>
      <c r="AP33" s="207">
        <v>1983.68</v>
      </c>
      <c r="AQ33" s="208">
        <v>1336.61</v>
      </c>
      <c r="AR33" s="208">
        <v>1924.3400000000001</v>
      </c>
      <c r="AS33" s="208">
        <v>2243.41</v>
      </c>
      <c r="AT33" s="209">
        <v>2193.36</v>
      </c>
      <c r="AU33" s="208">
        <v>1978.89</v>
      </c>
      <c r="AV33" s="208">
        <v>1510.4</v>
      </c>
      <c r="AW33" s="208">
        <v>2537</v>
      </c>
      <c r="AX33" s="208">
        <v>2713</v>
      </c>
      <c r="AY33" s="208">
        <v>2928.04</v>
      </c>
      <c r="AZ33" s="207">
        <v>1373</v>
      </c>
      <c r="BA33" s="208">
        <v>768</v>
      </c>
      <c r="BB33" s="208">
        <v>1360</v>
      </c>
      <c r="BC33" s="208">
        <v>1462</v>
      </c>
      <c r="BD33" s="209">
        <v>1578</v>
      </c>
      <c r="BE33" s="208">
        <v>1008</v>
      </c>
      <c r="BF33" s="208">
        <v>578</v>
      </c>
      <c r="BG33" s="208">
        <v>998</v>
      </c>
      <c r="BH33" s="208">
        <v>1049</v>
      </c>
      <c r="BI33" s="208">
        <v>960</v>
      </c>
      <c r="BJ33" s="207" t="s">
        <v>386</v>
      </c>
      <c r="BK33" s="208" t="s">
        <v>386</v>
      </c>
      <c r="BL33" s="208" t="s">
        <v>386</v>
      </c>
      <c r="BM33" s="208" t="s">
        <v>386</v>
      </c>
      <c r="BN33" s="209" t="s">
        <v>386</v>
      </c>
      <c r="BO33" s="208">
        <v>1506</v>
      </c>
      <c r="BP33" s="208">
        <v>856.8</v>
      </c>
      <c r="BQ33" s="208">
        <v>1635</v>
      </c>
      <c r="BR33" s="208">
        <v>1867</v>
      </c>
      <c r="BS33" s="209">
        <v>1663</v>
      </c>
      <c r="BT33" s="208" t="s">
        <v>386</v>
      </c>
      <c r="BU33" s="208" t="s">
        <v>386</v>
      </c>
      <c r="BV33" s="208" t="s">
        <v>386</v>
      </c>
      <c r="BW33" s="208" t="s">
        <v>386</v>
      </c>
      <c r="BX33" s="209" t="s">
        <v>386</v>
      </c>
      <c r="BY33" s="208" t="s">
        <v>386</v>
      </c>
      <c r="BZ33" s="208" t="s">
        <v>386</v>
      </c>
      <c r="CA33" s="208" t="s">
        <v>386</v>
      </c>
      <c r="CB33" s="208" t="s">
        <v>386</v>
      </c>
      <c r="CC33" s="208" t="s">
        <v>386</v>
      </c>
      <c r="CD33" s="207">
        <v>1719</v>
      </c>
      <c r="CE33" s="208">
        <v>1524</v>
      </c>
      <c r="CF33" s="208">
        <v>819.2</v>
      </c>
      <c r="CG33" s="208">
        <v>2482</v>
      </c>
      <c r="CH33" s="209">
        <v>2661</v>
      </c>
    </row>
    <row r="34" spans="1:86" x14ac:dyDescent="0.25">
      <c r="A34" s="91" t="s">
        <v>176</v>
      </c>
      <c r="B34" s="207">
        <v>57.23</v>
      </c>
      <c r="C34" s="208">
        <v>36.25</v>
      </c>
      <c r="D34" s="208">
        <v>51.75</v>
      </c>
      <c r="E34" s="208">
        <v>49.64</v>
      </c>
      <c r="F34" s="208">
        <v>62.49</v>
      </c>
      <c r="G34" s="207">
        <v>25.6</v>
      </c>
      <c r="H34" s="208">
        <v>22.4</v>
      </c>
      <c r="I34" s="208">
        <v>22.6</v>
      </c>
      <c r="J34" s="208">
        <v>30.27</v>
      </c>
      <c r="K34" s="209">
        <v>28.54</v>
      </c>
      <c r="L34" s="208">
        <v>91.69</v>
      </c>
      <c r="M34" s="208">
        <v>78.400000000000006</v>
      </c>
      <c r="N34" s="208">
        <v>78.400000000000006</v>
      </c>
      <c r="O34" s="208">
        <v>129.38</v>
      </c>
      <c r="P34" s="208">
        <v>88.74</v>
      </c>
      <c r="Q34" s="207">
        <v>75.899999999999991</v>
      </c>
      <c r="R34" s="208">
        <v>48.75</v>
      </c>
      <c r="S34" s="208">
        <v>73.17</v>
      </c>
      <c r="T34" s="208">
        <v>52.769999999999996</v>
      </c>
      <c r="U34" s="209">
        <v>55.21</v>
      </c>
      <c r="V34" s="208">
        <v>80.900000000000006</v>
      </c>
      <c r="W34" s="208">
        <v>53.6</v>
      </c>
      <c r="X34" s="208">
        <v>78.150000000000006</v>
      </c>
      <c r="Y34" s="208">
        <v>68</v>
      </c>
      <c r="Z34" s="208">
        <v>74.44</v>
      </c>
      <c r="AA34" s="207">
        <v>22.12</v>
      </c>
      <c r="AB34" s="208">
        <v>16</v>
      </c>
      <c r="AC34" s="208">
        <v>20.12</v>
      </c>
      <c r="AD34" s="208">
        <v>17.43</v>
      </c>
      <c r="AE34" s="208">
        <v>22.72</v>
      </c>
      <c r="AF34" s="362">
        <v>41</v>
      </c>
      <c r="AG34" s="363">
        <v>23.2</v>
      </c>
      <c r="AH34" s="363">
        <v>25</v>
      </c>
      <c r="AI34" s="363">
        <v>66</v>
      </c>
      <c r="AJ34" s="364">
        <v>45</v>
      </c>
      <c r="AK34" s="208">
        <v>2156.5899999999997</v>
      </c>
      <c r="AL34" s="208">
        <v>1385.65</v>
      </c>
      <c r="AM34" s="208">
        <v>1732.8500000000001</v>
      </c>
      <c r="AN34" s="208">
        <v>1937.9599999999998</v>
      </c>
      <c r="AO34" s="208">
        <v>2111.67</v>
      </c>
      <c r="AP34" s="207">
        <v>1742.96</v>
      </c>
      <c r="AQ34" s="208">
        <v>1504.6</v>
      </c>
      <c r="AR34" s="208">
        <v>1574.97</v>
      </c>
      <c r="AS34" s="208">
        <v>1827.32</v>
      </c>
      <c r="AT34" s="209">
        <v>1304.25</v>
      </c>
      <c r="AU34" s="208">
        <v>1945.98</v>
      </c>
      <c r="AV34" s="208">
        <v>1799.2</v>
      </c>
      <c r="AW34" s="208">
        <v>1975.64</v>
      </c>
      <c r="AX34" s="208">
        <v>2135.1999999999998</v>
      </c>
      <c r="AY34" s="208">
        <v>2600.63</v>
      </c>
      <c r="AZ34" s="207">
        <v>1658.99</v>
      </c>
      <c r="BA34" s="208">
        <v>1049</v>
      </c>
      <c r="BB34" s="208">
        <v>1119.74</v>
      </c>
      <c r="BC34" s="208">
        <v>1153.3900000000001</v>
      </c>
      <c r="BD34" s="209">
        <v>1229.46</v>
      </c>
      <c r="BE34" s="208">
        <v>949</v>
      </c>
      <c r="BF34" s="208">
        <v>607</v>
      </c>
      <c r="BG34" s="208">
        <v>1003</v>
      </c>
      <c r="BH34" s="208">
        <v>998</v>
      </c>
      <c r="BI34" s="208">
        <v>1015</v>
      </c>
      <c r="BJ34" s="207">
        <v>774</v>
      </c>
      <c r="BK34" s="208">
        <v>533</v>
      </c>
      <c r="BL34" s="208">
        <v>523.20000000000005</v>
      </c>
      <c r="BM34" s="208">
        <v>626</v>
      </c>
      <c r="BN34" s="209">
        <v>689</v>
      </c>
      <c r="BO34" s="208">
        <v>1695</v>
      </c>
      <c r="BP34" s="208">
        <v>981</v>
      </c>
      <c r="BQ34" s="208">
        <v>1374</v>
      </c>
      <c r="BR34" s="208">
        <v>1557</v>
      </c>
      <c r="BS34" s="209">
        <v>1715</v>
      </c>
      <c r="BT34" s="208" t="s">
        <v>386</v>
      </c>
      <c r="BU34" s="208" t="s">
        <v>386</v>
      </c>
      <c r="BV34" s="208" t="s">
        <v>386</v>
      </c>
      <c r="BW34" s="208" t="s">
        <v>386</v>
      </c>
      <c r="BX34" s="209" t="s">
        <v>386</v>
      </c>
      <c r="BY34" s="208">
        <v>1406</v>
      </c>
      <c r="BZ34" s="208">
        <v>1300</v>
      </c>
      <c r="CA34" s="208">
        <v>1516</v>
      </c>
      <c r="CB34" s="208">
        <v>1618</v>
      </c>
      <c r="CC34" s="208">
        <v>2303</v>
      </c>
      <c r="CD34" s="207">
        <v>1719</v>
      </c>
      <c r="CE34" s="208">
        <v>1499</v>
      </c>
      <c r="CF34" s="208">
        <v>863</v>
      </c>
      <c r="CG34" s="208">
        <v>1933</v>
      </c>
      <c r="CH34" s="209">
        <v>2094</v>
      </c>
    </row>
    <row r="35" spans="1:86" x14ac:dyDescent="0.25">
      <c r="A35" s="91" t="s">
        <v>64</v>
      </c>
      <c r="B35" s="207">
        <v>59.31</v>
      </c>
      <c r="C35" s="208">
        <v>46.2</v>
      </c>
      <c r="D35" s="208">
        <v>61.199999999999996</v>
      </c>
      <c r="E35" s="208">
        <v>60.79</v>
      </c>
      <c r="F35" s="208">
        <v>64.349999999999994</v>
      </c>
      <c r="G35" s="207">
        <v>35.659999999999997</v>
      </c>
      <c r="H35" s="208">
        <v>29.84</v>
      </c>
      <c r="I35" s="208">
        <v>36</v>
      </c>
      <c r="J35" s="208">
        <v>31.89</v>
      </c>
      <c r="K35" s="209">
        <v>38.58</v>
      </c>
      <c r="L35" s="208">
        <v>146.07</v>
      </c>
      <c r="M35" s="208">
        <v>125.97</v>
      </c>
      <c r="N35" s="208">
        <v>144.71</v>
      </c>
      <c r="O35" s="208">
        <v>138.9</v>
      </c>
      <c r="P35" s="208">
        <v>147.23999999999998</v>
      </c>
      <c r="Q35" s="207">
        <v>76.89</v>
      </c>
      <c r="R35" s="208">
        <v>63.34</v>
      </c>
      <c r="S35" s="208">
        <v>77.570000000000007</v>
      </c>
      <c r="T35" s="208">
        <v>72.95</v>
      </c>
      <c r="U35" s="209">
        <v>76.949999999999989</v>
      </c>
      <c r="V35" s="208">
        <v>94</v>
      </c>
      <c r="W35" s="208">
        <v>42.4</v>
      </c>
      <c r="X35" s="208">
        <v>76</v>
      </c>
      <c r="Y35" s="208">
        <v>83</v>
      </c>
      <c r="Z35" s="208">
        <v>120</v>
      </c>
      <c r="AA35" s="207">
        <v>29.08</v>
      </c>
      <c r="AB35" s="208">
        <v>21.3</v>
      </c>
      <c r="AC35" s="208">
        <v>28.12</v>
      </c>
      <c r="AD35" s="208">
        <v>19.2</v>
      </c>
      <c r="AE35" s="208">
        <v>28.26</v>
      </c>
      <c r="AF35" s="229">
        <v>59</v>
      </c>
      <c r="AG35" s="220">
        <v>45</v>
      </c>
      <c r="AH35" s="220">
        <v>65</v>
      </c>
      <c r="AI35" s="220">
        <v>67</v>
      </c>
      <c r="AJ35" s="224">
        <v>73</v>
      </c>
      <c r="AK35" s="208">
        <v>1990.6499999999999</v>
      </c>
      <c r="AL35" s="208">
        <v>1692.12</v>
      </c>
      <c r="AM35" s="208">
        <v>2167.06</v>
      </c>
      <c r="AN35" s="208">
        <v>1986.57</v>
      </c>
      <c r="AO35" s="208">
        <v>1824.44</v>
      </c>
      <c r="AP35" s="207">
        <v>2203.7600000000002</v>
      </c>
      <c r="AQ35" s="208">
        <v>1758.9599999999998</v>
      </c>
      <c r="AR35" s="208">
        <v>2151.7000000000003</v>
      </c>
      <c r="AS35" s="208">
        <v>1920.04</v>
      </c>
      <c r="AT35" s="209">
        <v>1581.97</v>
      </c>
      <c r="AU35" s="208">
        <v>2010.44</v>
      </c>
      <c r="AV35" s="208">
        <v>1479.2</v>
      </c>
      <c r="AW35" s="208">
        <v>2584</v>
      </c>
      <c r="AX35" s="208">
        <v>3423.66</v>
      </c>
      <c r="AY35" s="208">
        <v>2746.27</v>
      </c>
      <c r="AZ35" s="207" t="s">
        <v>386</v>
      </c>
      <c r="BA35" s="208" t="s">
        <v>386</v>
      </c>
      <c r="BB35" s="208" t="s">
        <v>386</v>
      </c>
      <c r="BC35" s="208" t="s">
        <v>386</v>
      </c>
      <c r="BD35" s="209" t="s">
        <v>386</v>
      </c>
      <c r="BE35" s="208" t="s">
        <v>386</v>
      </c>
      <c r="BF35" s="208" t="s">
        <v>386</v>
      </c>
      <c r="BG35" s="208" t="s">
        <v>386</v>
      </c>
      <c r="BH35" s="208" t="s">
        <v>386</v>
      </c>
      <c r="BI35" s="208" t="s">
        <v>386</v>
      </c>
      <c r="BJ35" s="207">
        <v>763.2</v>
      </c>
      <c r="BK35" s="208">
        <v>763.2</v>
      </c>
      <c r="BL35" s="208">
        <v>613</v>
      </c>
      <c r="BM35" s="208">
        <v>678.4</v>
      </c>
      <c r="BN35" s="209">
        <v>678.4</v>
      </c>
      <c r="BO35" s="208" t="s">
        <v>386</v>
      </c>
      <c r="BP35" s="208" t="s">
        <v>386</v>
      </c>
      <c r="BQ35" s="208" t="s">
        <v>386</v>
      </c>
      <c r="BR35" s="208" t="s">
        <v>386</v>
      </c>
      <c r="BS35" s="209" t="s">
        <v>386</v>
      </c>
      <c r="BT35" s="208">
        <v>1810</v>
      </c>
      <c r="BU35" s="208">
        <v>1541</v>
      </c>
      <c r="BV35" s="208">
        <v>2034</v>
      </c>
      <c r="BW35" s="208">
        <v>1881</v>
      </c>
      <c r="BX35" s="209">
        <v>1747</v>
      </c>
      <c r="BY35" s="208" t="s">
        <v>386</v>
      </c>
      <c r="BZ35" s="208" t="s">
        <v>386</v>
      </c>
      <c r="CA35" s="208" t="s">
        <v>386</v>
      </c>
      <c r="CB35" s="208" t="s">
        <v>386</v>
      </c>
      <c r="CC35" s="208" t="s">
        <v>386</v>
      </c>
      <c r="CD35" s="207" t="s">
        <v>386</v>
      </c>
      <c r="CE35" s="208" t="s">
        <v>386</v>
      </c>
      <c r="CF35" s="208" t="s">
        <v>386</v>
      </c>
      <c r="CG35" s="208" t="s">
        <v>386</v>
      </c>
      <c r="CH35" s="209" t="s">
        <v>386</v>
      </c>
    </row>
    <row r="36" spans="1:86" x14ac:dyDescent="0.25">
      <c r="A36" s="91" t="s">
        <v>65</v>
      </c>
      <c r="B36" s="207">
        <v>51.93</v>
      </c>
      <c r="C36" s="208">
        <v>35.85</v>
      </c>
      <c r="D36" s="208">
        <v>55.239999999999995</v>
      </c>
      <c r="E36" s="208">
        <v>53.489999999999995</v>
      </c>
      <c r="F36" s="208">
        <v>67.56</v>
      </c>
      <c r="G36" s="207">
        <v>27.12</v>
      </c>
      <c r="H36" s="208">
        <v>24</v>
      </c>
      <c r="I36" s="208">
        <v>32.82</v>
      </c>
      <c r="J36" s="208">
        <v>47.32</v>
      </c>
      <c r="K36" s="209">
        <v>34.049999999999997</v>
      </c>
      <c r="L36" s="208">
        <v>103.42</v>
      </c>
      <c r="M36" s="208">
        <v>101.25</v>
      </c>
      <c r="N36" s="208">
        <v>112.38</v>
      </c>
      <c r="O36" s="208">
        <v>154.34</v>
      </c>
      <c r="P36" s="208">
        <v>120.31</v>
      </c>
      <c r="Q36" s="207">
        <v>62.36</v>
      </c>
      <c r="R36" s="208">
        <v>45.949999999999996</v>
      </c>
      <c r="S36" s="208">
        <v>65.209999999999994</v>
      </c>
      <c r="T36" s="208">
        <v>68.61</v>
      </c>
      <c r="U36" s="209">
        <v>89.58</v>
      </c>
      <c r="V36" s="208">
        <v>64</v>
      </c>
      <c r="W36" s="208">
        <v>51.2</v>
      </c>
      <c r="X36" s="208">
        <v>84.18</v>
      </c>
      <c r="Y36" s="208">
        <v>69.34</v>
      </c>
      <c r="Z36" s="208">
        <v>82.28</v>
      </c>
      <c r="AA36" s="207">
        <v>29.73</v>
      </c>
      <c r="AB36" s="208">
        <v>16.8</v>
      </c>
      <c r="AC36" s="208">
        <v>27.91</v>
      </c>
      <c r="AD36" s="208">
        <v>21</v>
      </c>
      <c r="AE36" s="208">
        <v>22</v>
      </c>
      <c r="AF36" s="229">
        <v>44</v>
      </c>
      <c r="AG36" s="220">
        <v>20.8</v>
      </c>
      <c r="AH36" s="220">
        <v>56</v>
      </c>
      <c r="AI36" s="220">
        <v>77</v>
      </c>
      <c r="AJ36" s="224">
        <v>62</v>
      </c>
      <c r="AK36" s="208">
        <v>2179.5500000000002</v>
      </c>
      <c r="AL36" s="208">
        <v>1405.15</v>
      </c>
      <c r="AM36" s="208">
        <v>1801.4</v>
      </c>
      <c r="AN36" s="208">
        <v>2226.08</v>
      </c>
      <c r="AO36" s="208">
        <v>2000.0900000000001</v>
      </c>
      <c r="AP36" s="207">
        <v>2022.93</v>
      </c>
      <c r="AQ36" s="208">
        <v>1306.6499999999999</v>
      </c>
      <c r="AR36" s="208">
        <v>2250.17</v>
      </c>
      <c r="AS36" s="208">
        <v>2287.34</v>
      </c>
      <c r="AT36" s="209">
        <v>1988.14</v>
      </c>
      <c r="AU36" s="208">
        <v>1711.2</v>
      </c>
      <c r="AV36" s="208">
        <v>1711.2</v>
      </c>
      <c r="AW36" s="208">
        <v>2256</v>
      </c>
      <c r="AX36" s="208">
        <v>1955</v>
      </c>
      <c r="AY36" s="208">
        <v>2804</v>
      </c>
      <c r="AZ36" s="207">
        <v>964</v>
      </c>
      <c r="BA36" s="208">
        <v>964</v>
      </c>
      <c r="BB36" s="208">
        <v>1209</v>
      </c>
      <c r="BC36" s="208">
        <v>1053</v>
      </c>
      <c r="BD36" s="209">
        <v>1576</v>
      </c>
      <c r="BE36" s="208">
        <v>969</v>
      </c>
      <c r="BF36" s="208">
        <v>594</v>
      </c>
      <c r="BG36" s="208">
        <v>1001</v>
      </c>
      <c r="BH36" s="208">
        <v>1020</v>
      </c>
      <c r="BI36" s="208">
        <v>988</v>
      </c>
      <c r="BJ36" s="207" t="s">
        <v>386</v>
      </c>
      <c r="BK36" s="208" t="s">
        <v>386</v>
      </c>
      <c r="BL36" s="208" t="s">
        <v>386</v>
      </c>
      <c r="BM36" s="208" t="s">
        <v>386</v>
      </c>
      <c r="BN36" s="209" t="s">
        <v>386</v>
      </c>
      <c r="BO36" s="208">
        <v>1679</v>
      </c>
      <c r="BP36" s="208">
        <v>1200</v>
      </c>
      <c r="BQ36" s="208">
        <v>1407</v>
      </c>
      <c r="BR36" s="208">
        <v>1778</v>
      </c>
      <c r="BS36" s="209">
        <v>1611</v>
      </c>
      <c r="BT36" s="208" t="s">
        <v>386</v>
      </c>
      <c r="BU36" s="208" t="s">
        <v>386</v>
      </c>
      <c r="BV36" s="208" t="s">
        <v>386</v>
      </c>
      <c r="BW36" s="208" t="s">
        <v>386</v>
      </c>
      <c r="BX36" s="209" t="s">
        <v>386</v>
      </c>
      <c r="BY36" s="208">
        <v>1253.5999999999999</v>
      </c>
      <c r="BZ36" s="208">
        <v>1253.5999999999999</v>
      </c>
      <c r="CA36" s="208">
        <v>1713</v>
      </c>
      <c r="CB36" s="208">
        <v>1481</v>
      </c>
      <c r="CC36" s="208">
        <v>2124</v>
      </c>
      <c r="CD36" s="207" t="s">
        <v>386</v>
      </c>
      <c r="CE36" s="208" t="s">
        <v>386</v>
      </c>
      <c r="CF36" s="208" t="s">
        <v>386</v>
      </c>
      <c r="CG36" s="208" t="s">
        <v>386</v>
      </c>
      <c r="CH36" s="209" t="s">
        <v>386</v>
      </c>
    </row>
    <row r="37" spans="1:86" x14ac:dyDescent="0.25">
      <c r="A37" s="91" t="s">
        <v>66</v>
      </c>
      <c r="B37" s="207">
        <v>65.64</v>
      </c>
      <c r="C37" s="208">
        <v>52.15</v>
      </c>
      <c r="D37" s="208">
        <v>69.88000000000001</v>
      </c>
      <c r="E37" s="208">
        <v>69.680000000000007</v>
      </c>
      <c r="F37" s="208">
        <v>81.95</v>
      </c>
      <c r="G37" s="207">
        <v>40.65</v>
      </c>
      <c r="H37" s="208">
        <v>31.45</v>
      </c>
      <c r="I37" s="208">
        <v>45</v>
      </c>
      <c r="J37" s="208">
        <v>39.92</v>
      </c>
      <c r="K37" s="209">
        <v>45.17</v>
      </c>
      <c r="L37" s="208">
        <v>165.51999999999998</v>
      </c>
      <c r="M37" s="208">
        <v>129.27000000000001</v>
      </c>
      <c r="N37" s="208">
        <v>162.89000000000001</v>
      </c>
      <c r="O37" s="208">
        <v>147.45000000000002</v>
      </c>
      <c r="P37" s="208">
        <v>166.88</v>
      </c>
      <c r="Q37" s="207">
        <v>81.67</v>
      </c>
      <c r="R37" s="208">
        <v>67.48</v>
      </c>
      <c r="S37" s="208">
        <v>84.03</v>
      </c>
      <c r="T37" s="208">
        <v>88.29</v>
      </c>
      <c r="U37" s="209">
        <v>97.96</v>
      </c>
      <c r="V37" s="208">
        <v>100.69</v>
      </c>
      <c r="W37" s="208">
        <v>79.13</v>
      </c>
      <c r="X37" s="208">
        <v>145.19999999999999</v>
      </c>
      <c r="Y37" s="208">
        <v>96</v>
      </c>
      <c r="Z37" s="208">
        <v>130</v>
      </c>
      <c r="AA37" s="207">
        <v>28</v>
      </c>
      <c r="AB37" s="208">
        <v>18.399999999999999</v>
      </c>
      <c r="AC37" s="208">
        <v>35</v>
      </c>
      <c r="AD37" s="208">
        <v>18.399999999999999</v>
      </c>
      <c r="AE37" s="208">
        <v>29</v>
      </c>
      <c r="AF37" s="229">
        <v>66</v>
      </c>
      <c r="AG37" s="220">
        <v>46</v>
      </c>
      <c r="AH37" s="220">
        <v>73</v>
      </c>
      <c r="AI37" s="220">
        <v>71</v>
      </c>
      <c r="AJ37" s="224">
        <v>82</v>
      </c>
      <c r="AK37" s="208">
        <v>2557.19</v>
      </c>
      <c r="AL37" s="208">
        <v>1926.32</v>
      </c>
      <c r="AM37" s="208">
        <v>2488.84</v>
      </c>
      <c r="AN37" s="208">
        <v>2889.5099999999998</v>
      </c>
      <c r="AO37" s="208">
        <v>2473.0299999999997</v>
      </c>
      <c r="AP37" s="207">
        <v>2362.21</v>
      </c>
      <c r="AQ37" s="208">
        <v>2312.3300000000004</v>
      </c>
      <c r="AR37" s="208">
        <v>2351.3200000000002</v>
      </c>
      <c r="AS37" s="208">
        <v>2253.3200000000002</v>
      </c>
      <c r="AT37" s="209">
        <v>2347.79</v>
      </c>
      <c r="AU37" s="208">
        <v>1458.55</v>
      </c>
      <c r="AV37" s="208">
        <v>1716</v>
      </c>
      <c r="AW37" s="208">
        <v>3284</v>
      </c>
      <c r="AX37" s="208">
        <v>2654</v>
      </c>
      <c r="AY37" s="208">
        <v>3104</v>
      </c>
      <c r="AZ37" s="207">
        <v>1012</v>
      </c>
      <c r="BA37" s="208">
        <v>968</v>
      </c>
      <c r="BB37" s="208">
        <v>1760</v>
      </c>
      <c r="BC37" s="208">
        <v>1430</v>
      </c>
      <c r="BD37" s="209">
        <v>1673</v>
      </c>
      <c r="BE37" s="208" t="s">
        <v>386</v>
      </c>
      <c r="BF37" s="208" t="s">
        <v>386</v>
      </c>
      <c r="BG37" s="208" t="s">
        <v>386</v>
      </c>
      <c r="BH37" s="208" t="s">
        <v>386</v>
      </c>
      <c r="BI37" s="208" t="s">
        <v>386</v>
      </c>
      <c r="BJ37" s="207" t="s">
        <v>386</v>
      </c>
      <c r="BK37" s="208" t="s">
        <v>386</v>
      </c>
      <c r="BL37" s="208" t="s">
        <v>386</v>
      </c>
      <c r="BM37" s="208" t="s">
        <v>386</v>
      </c>
      <c r="BN37" s="209" t="s">
        <v>386</v>
      </c>
      <c r="BO37" s="208" t="s">
        <v>386</v>
      </c>
      <c r="BP37" s="208" t="s">
        <v>386</v>
      </c>
      <c r="BQ37" s="208" t="s">
        <v>386</v>
      </c>
      <c r="BR37" s="208" t="s">
        <v>386</v>
      </c>
      <c r="BS37" s="209" t="s">
        <v>386</v>
      </c>
      <c r="BT37" s="208" t="s">
        <v>386</v>
      </c>
      <c r="BU37" s="208" t="s">
        <v>386</v>
      </c>
      <c r="BV37" s="208" t="s">
        <v>386</v>
      </c>
      <c r="BW37" s="208" t="s">
        <v>386</v>
      </c>
      <c r="BX37" s="209" t="s">
        <v>386</v>
      </c>
      <c r="BY37" s="208" t="s">
        <v>386</v>
      </c>
      <c r="BZ37" s="208" t="s">
        <v>386</v>
      </c>
      <c r="CA37" s="208" t="s">
        <v>386</v>
      </c>
      <c r="CB37" s="208" t="s">
        <v>386</v>
      </c>
      <c r="CC37" s="208" t="s">
        <v>386</v>
      </c>
      <c r="CD37" s="207" t="s">
        <v>386</v>
      </c>
      <c r="CE37" s="208" t="s">
        <v>386</v>
      </c>
      <c r="CF37" s="208" t="s">
        <v>386</v>
      </c>
      <c r="CG37" s="208" t="s">
        <v>386</v>
      </c>
      <c r="CH37" s="209" t="s">
        <v>386</v>
      </c>
    </row>
    <row r="38" spans="1:86" x14ac:dyDescent="0.25">
      <c r="A38" s="91" t="s">
        <v>67</v>
      </c>
      <c r="B38" s="207">
        <v>54.66</v>
      </c>
      <c r="C38" s="208">
        <v>44.35</v>
      </c>
      <c r="D38" s="208">
        <v>57.050000000000004</v>
      </c>
      <c r="E38" s="208">
        <v>52.15</v>
      </c>
      <c r="F38" s="208">
        <v>67.03</v>
      </c>
      <c r="G38" s="207">
        <v>32.299999999999997</v>
      </c>
      <c r="H38" s="208">
        <v>26.8</v>
      </c>
      <c r="I38" s="208">
        <v>37.76</v>
      </c>
      <c r="J38" s="208">
        <v>28.02</v>
      </c>
      <c r="K38" s="209">
        <v>42.48</v>
      </c>
      <c r="L38" s="208">
        <v>122.82</v>
      </c>
      <c r="M38" s="208">
        <v>98.7</v>
      </c>
      <c r="N38" s="208">
        <v>128</v>
      </c>
      <c r="O38" s="208">
        <v>102.54</v>
      </c>
      <c r="P38" s="208">
        <v>144.47</v>
      </c>
      <c r="Q38" s="207">
        <v>78.28</v>
      </c>
      <c r="R38" s="208">
        <v>57.650000000000006</v>
      </c>
      <c r="S38" s="208">
        <v>83.14</v>
      </c>
      <c r="T38" s="208">
        <v>71.260000000000005</v>
      </c>
      <c r="U38" s="209">
        <v>80.570000000000007</v>
      </c>
      <c r="V38" s="208">
        <v>80.040000000000006</v>
      </c>
      <c r="W38" s="208">
        <v>52.8</v>
      </c>
      <c r="X38" s="208">
        <v>85.47</v>
      </c>
      <c r="Y38" s="208">
        <v>52.8</v>
      </c>
      <c r="Z38" s="208">
        <v>95.44</v>
      </c>
      <c r="AA38" s="207">
        <v>29.1</v>
      </c>
      <c r="AB38" s="208">
        <v>16.8</v>
      </c>
      <c r="AC38" s="208">
        <v>25.97</v>
      </c>
      <c r="AD38" s="208">
        <v>19</v>
      </c>
      <c r="AE38" s="208">
        <v>24</v>
      </c>
      <c r="AF38" s="229">
        <v>48</v>
      </c>
      <c r="AG38" s="220">
        <v>20.8</v>
      </c>
      <c r="AH38" s="220">
        <v>57</v>
      </c>
      <c r="AI38" s="220">
        <v>49</v>
      </c>
      <c r="AJ38" s="224">
        <v>71</v>
      </c>
      <c r="AK38" s="208">
        <v>2295.5699999999997</v>
      </c>
      <c r="AL38" s="208">
        <v>1519.25</v>
      </c>
      <c r="AM38" s="208">
        <v>2202.2999999999997</v>
      </c>
      <c r="AN38" s="208">
        <v>1888.79</v>
      </c>
      <c r="AO38" s="208">
        <v>2192.9300000000003</v>
      </c>
      <c r="AP38" s="207">
        <v>2055.5700000000002</v>
      </c>
      <c r="AQ38" s="208">
        <v>1515.51</v>
      </c>
      <c r="AR38" s="208">
        <v>2451.9700000000003</v>
      </c>
      <c r="AS38" s="208">
        <v>2036.5800000000002</v>
      </c>
      <c r="AT38" s="209">
        <v>1518.98</v>
      </c>
      <c r="AU38" s="208">
        <v>2724.39</v>
      </c>
      <c r="AV38" s="208">
        <v>2063.1999999999998</v>
      </c>
      <c r="AW38" s="208">
        <v>1982.4</v>
      </c>
      <c r="AX38" s="208">
        <v>2162.31</v>
      </c>
      <c r="AY38" s="208">
        <v>2564.12</v>
      </c>
      <c r="AZ38" s="207">
        <v>1891</v>
      </c>
      <c r="BA38" s="208">
        <v>1276.8</v>
      </c>
      <c r="BB38" s="208">
        <v>1268</v>
      </c>
      <c r="BC38" s="208">
        <v>1268</v>
      </c>
      <c r="BD38" s="209">
        <v>1382</v>
      </c>
      <c r="BE38" s="208" t="s">
        <v>386</v>
      </c>
      <c r="BF38" s="208" t="s">
        <v>386</v>
      </c>
      <c r="BG38" s="208" t="s">
        <v>386</v>
      </c>
      <c r="BH38" s="208" t="s">
        <v>386</v>
      </c>
      <c r="BI38" s="208" t="s">
        <v>386</v>
      </c>
      <c r="BJ38" s="207" t="s">
        <v>386</v>
      </c>
      <c r="BK38" s="208" t="s">
        <v>386</v>
      </c>
      <c r="BL38" s="208" t="s">
        <v>386</v>
      </c>
      <c r="BM38" s="208" t="s">
        <v>386</v>
      </c>
      <c r="BN38" s="209" t="s">
        <v>386</v>
      </c>
      <c r="BO38" s="208">
        <v>1767</v>
      </c>
      <c r="BP38" s="208">
        <v>856.8</v>
      </c>
      <c r="BQ38" s="208">
        <v>1733</v>
      </c>
      <c r="BR38" s="208">
        <v>1495</v>
      </c>
      <c r="BS38" s="209">
        <v>1768</v>
      </c>
      <c r="BT38" s="208" t="s">
        <v>386</v>
      </c>
      <c r="BU38" s="208" t="s">
        <v>386</v>
      </c>
      <c r="BV38" s="208" t="s">
        <v>386</v>
      </c>
      <c r="BW38" s="208" t="s">
        <v>386</v>
      </c>
      <c r="BX38" s="209" t="s">
        <v>386</v>
      </c>
      <c r="BY38" s="208" t="s">
        <v>386</v>
      </c>
      <c r="BZ38" s="208" t="s">
        <v>386</v>
      </c>
      <c r="CA38" s="208" t="s">
        <v>386</v>
      </c>
      <c r="CB38" s="208" t="s">
        <v>386</v>
      </c>
      <c r="CC38" s="208" t="s">
        <v>386</v>
      </c>
      <c r="CD38" s="207" t="s">
        <v>386</v>
      </c>
      <c r="CE38" s="208" t="s">
        <v>386</v>
      </c>
      <c r="CF38" s="208" t="s">
        <v>386</v>
      </c>
      <c r="CG38" s="208" t="s">
        <v>386</v>
      </c>
      <c r="CH38" s="209" t="s">
        <v>386</v>
      </c>
    </row>
    <row r="39" spans="1:86" x14ac:dyDescent="0.25">
      <c r="A39" s="91" t="s">
        <v>68</v>
      </c>
      <c r="B39" s="207">
        <v>60.879999999999995</v>
      </c>
      <c r="C39" s="208">
        <v>45.5</v>
      </c>
      <c r="D39" s="208">
        <v>61.400000000000006</v>
      </c>
      <c r="E39" s="208">
        <v>50.510000000000005</v>
      </c>
      <c r="F39" s="208">
        <v>62.1</v>
      </c>
      <c r="G39" s="207">
        <v>34.64</v>
      </c>
      <c r="H39" s="208">
        <v>30.13</v>
      </c>
      <c r="I39" s="208">
        <v>39.160000000000004</v>
      </c>
      <c r="J39" s="208">
        <v>26</v>
      </c>
      <c r="K39" s="209">
        <v>38.79</v>
      </c>
      <c r="L39" s="208">
        <v>136.65</v>
      </c>
      <c r="M39" s="208">
        <v>122.03</v>
      </c>
      <c r="N39" s="208">
        <v>147.55999999999997</v>
      </c>
      <c r="O39" s="208">
        <v>107.12</v>
      </c>
      <c r="P39" s="208">
        <v>149.68</v>
      </c>
      <c r="Q39" s="207">
        <v>80.5</v>
      </c>
      <c r="R39" s="208">
        <v>69.06</v>
      </c>
      <c r="S39" s="208">
        <v>88.96</v>
      </c>
      <c r="T39" s="208">
        <v>83.259999999999991</v>
      </c>
      <c r="U39" s="209">
        <v>60.6</v>
      </c>
      <c r="V39" s="208">
        <v>93.19</v>
      </c>
      <c r="W39" s="208">
        <v>70.400000000000006</v>
      </c>
      <c r="X39" s="208">
        <v>70.400000000000006</v>
      </c>
      <c r="Y39" s="208">
        <v>70.400000000000006</v>
      </c>
      <c r="Z39" s="208">
        <v>102</v>
      </c>
      <c r="AA39" s="207">
        <v>23.51</v>
      </c>
      <c r="AB39" s="208">
        <v>16</v>
      </c>
      <c r="AC39" s="208">
        <v>31</v>
      </c>
      <c r="AD39" s="208">
        <v>14</v>
      </c>
      <c r="AE39" s="208">
        <v>28</v>
      </c>
      <c r="AF39" s="229">
        <v>53</v>
      </c>
      <c r="AG39" s="220">
        <v>43</v>
      </c>
      <c r="AH39" s="220">
        <v>65</v>
      </c>
      <c r="AI39" s="220">
        <v>50</v>
      </c>
      <c r="AJ39" s="224">
        <v>73</v>
      </c>
      <c r="AK39" s="208">
        <v>2032.1</v>
      </c>
      <c r="AL39" s="208">
        <v>1819.83</v>
      </c>
      <c r="AM39" s="208">
        <v>2364.3799999999997</v>
      </c>
      <c r="AN39" s="208">
        <v>1954.15</v>
      </c>
      <c r="AO39" s="208">
        <v>1804.4599999999998</v>
      </c>
      <c r="AP39" s="207">
        <v>2124.31</v>
      </c>
      <c r="AQ39" s="208">
        <v>2467.75</v>
      </c>
      <c r="AR39" s="208">
        <v>2488.9499999999998</v>
      </c>
      <c r="AS39" s="208">
        <v>2224.17</v>
      </c>
      <c r="AT39" s="209">
        <v>2383.8500000000004</v>
      </c>
      <c r="AU39" s="208">
        <v>2633.3</v>
      </c>
      <c r="AV39" s="208">
        <v>1840.8</v>
      </c>
      <c r="AW39" s="208">
        <v>3083</v>
      </c>
      <c r="AX39" s="208">
        <v>2032</v>
      </c>
      <c r="AY39" s="208">
        <v>1982.4</v>
      </c>
      <c r="AZ39" s="207" t="s">
        <v>386</v>
      </c>
      <c r="BA39" s="208" t="s">
        <v>386</v>
      </c>
      <c r="BB39" s="208" t="s">
        <v>386</v>
      </c>
      <c r="BC39" s="208" t="s">
        <v>386</v>
      </c>
      <c r="BD39" s="209" t="s">
        <v>386</v>
      </c>
      <c r="BE39" s="208" t="s">
        <v>386</v>
      </c>
      <c r="BF39" s="208" t="s">
        <v>386</v>
      </c>
      <c r="BG39" s="208" t="s">
        <v>386</v>
      </c>
      <c r="BH39" s="208" t="s">
        <v>386</v>
      </c>
      <c r="BI39" s="208" t="s">
        <v>386</v>
      </c>
      <c r="BJ39" s="207" t="s">
        <v>386</v>
      </c>
      <c r="BK39" s="208" t="s">
        <v>386</v>
      </c>
      <c r="BL39" s="208" t="s">
        <v>386</v>
      </c>
      <c r="BM39" s="208" t="s">
        <v>386</v>
      </c>
      <c r="BN39" s="209" t="s">
        <v>386</v>
      </c>
      <c r="BO39" s="208" t="s">
        <v>386</v>
      </c>
      <c r="BP39" s="208" t="s">
        <v>386</v>
      </c>
      <c r="BQ39" s="208" t="s">
        <v>386</v>
      </c>
      <c r="BR39" s="208" t="s">
        <v>386</v>
      </c>
      <c r="BS39" s="209" t="s">
        <v>386</v>
      </c>
      <c r="BT39" s="208">
        <v>1821</v>
      </c>
      <c r="BU39" s="208">
        <v>1642</v>
      </c>
      <c r="BV39" s="208">
        <v>2208</v>
      </c>
      <c r="BW39" s="208">
        <v>1834</v>
      </c>
      <c r="BX39" s="209">
        <v>1717</v>
      </c>
      <c r="BY39" s="208" t="s">
        <v>386</v>
      </c>
      <c r="BZ39" s="208" t="s">
        <v>386</v>
      </c>
      <c r="CA39" s="208" t="s">
        <v>386</v>
      </c>
      <c r="CB39" s="208" t="s">
        <v>386</v>
      </c>
      <c r="CC39" s="208" t="s">
        <v>386</v>
      </c>
      <c r="CD39" s="207" t="s">
        <v>386</v>
      </c>
      <c r="CE39" s="208" t="s">
        <v>386</v>
      </c>
      <c r="CF39" s="208" t="s">
        <v>386</v>
      </c>
      <c r="CG39" s="208" t="s">
        <v>386</v>
      </c>
      <c r="CH39" s="209" t="s">
        <v>386</v>
      </c>
    </row>
    <row r="40" spans="1:86" x14ac:dyDescent="0.25">
      <c r="A40" s="91" t="s">
        <v>69</v>
      </c>
      <c r="B40" s="207">
        <v>64.23</v>
      </c>
      <c r="C40" s="208">
        <v>62.91</v>
      </c>
      <c r="D40" s="208">
        <v>58.4</v>
      </c>
      <c r="E40" s="208">
        <v>66.33</v>
      </c>
      <c r="F40" s="208">
        <v>67.449999999999989</v>
      </c>
      <c r="G40" s="207">
        <v>45.879999999999995</v>
      </c>
      <c r="H40" s="208">
        <v>37.74</v>
      </c>
      <c r="I40" s="208">
        <v>47.6</v>
      </c>
      <c r="J40" s="208">
        <v>46.25</v>
      </c>
      <c r="K40" s="209">
        <v>42.86</v>
      </c>
      <c r="L40" s="208">
        <v>188.17000000000002</v>
      </c>
      <c r="M40" s="208">
        <v>152.11999999999998</v>
      </c>
      <c r="N40" s="208">
        <v>187.79999999999998</v>
      </c>
      <c r="O40" s="208">
        <v>187.02</v>
      </c>
      <c r="P40" s="208">
        <v>196.25</v>
      </c>
      <c r="Q40" s="207">
        <v>74</v>
      </c>
      <c r="R40" s="208">
        <v>59.04</v>
      </c>
      <c r="S40" s="208">
        <v>75</v>
      </c>
      <c r="T40" s="208">
        <v>81</v>
      </c>
      <c r="U40" s="209">
        <v>76</v>
      </c>
      <c r="V40" s="208">
        <v>59</v>
      </c>
      <c r="W40" s="208">
        <v>59</v>
      </c>
      <c r="X40" s="208">
        <v>63.2</v>
      </c>
      <c r="Y40" s="208">
        <v>90.32</v>
      </c>
      <c r="Z40" s="208">
        <v>83.74</v>
      </c>
      <c r="AA40" s="207">
        <v>20</v>
      </c>
      <c r="AB40" s="208">
        <v>9.6</v>
      </c>
      <c r="AC40" s="208">
        <v>27</v>
      </c>
      <c r="AD40" s="208">
        <v>15</v>
      </c>
      <c r="AE40" s="208">
        <v>20</v>
      </c>
      <c r="AF40" s="229">
        <v>78</v>
      </c>
      <c r="AG40" s="220">
        <v>59</v>
      </c>
      <c r="AH40" s="220">
        <v>88</v>
      </c>
      <c r="AI40" s="220">
        <v>94</v>
      </c>
      <c r="AJ40" s="224">
        <v>98</v>
      </c>
      <c r="AK40" s="208">
        <v>1539</v>
      </c>
      <c r="AL40" s="208">
        <v>996.8</v>
      </c>
      <c r="AM40" s="208">
        <v>1825</v>
      </c>
      <c r="AN40" s="208">
        <v>2620</v>
      </c>
      <c r="AO40" s="208">
        <v>2198.5100000000002</v>
      </c>
      <c r="AP40" s="207">
        <v>1884.82</v>
      </c>
      <c r="AQ40" s="208">
        <v>2086.85</v>
      </c>
      <c r="AR40" s="208">
        <v>2318.36</v>
      </c>
      <c r="AS40" s="208">
        <v>2337.23</v>
      </c>
      <c r="AT40" s="209">
        <v>1809.94</v>
      </c>
      <c r="AU40" s="208">
        <v>2727.4</v>
      </c>
      <c r="AV40" s="208">
        <v>1584</v>
      </c>
      <c r="AW40" s="208">
        <v>1900.8</v>
      </c>
      <c r="AX40" s="208">
        <v>3216</v>
      </c>
      <c r="AY40" s="208">
        <v>1507.2</v>
      </c>
      <c r="AZ40" s="207">
        <v>1893</v>
      </c>
      <c r="BA40" s="208">
        <v>848</v>
      </c>
      <c r="BB40" s="208">
        <v>1018</v>
      </c>
      <c r="BC40" s="208">
        <v>1733</v>
      </c>
      <c r="BD40" s="209">
        <v>848</v>
      </c>
      <c r="BE40" s="208" t="s">
        <v>386</v>
      </c>
      <c r="BF40" s="208" t="s">
        <v>386</v>
      </c>
      <c r="BG40" s="208" t="s">
        <v>386</v>
      </c>
      <c r="BH40" s="208" t="s">
        <v>386</v>
      </c>
      <c r="BI40" s="208" t="s">
        <v>386</v>
      </c>
      <c r="BJ40" s="207" t="s">
        <v>386</v>
      </c>
      <c r="BK40" s="208" t="s">
        <v>386</v>
      </c>
      <c r="BL40" s="208" t="s">
        <v>386</v>
      </c>
      <c r="BM40" s="208" t="s">
        <v>386</v>
      </c>
      <c r="BN40" s="209" t="s">
        <v>386</v>
      </c>
      <c r="BO40" s="208" t="s">
        <v>386</v>
      </c>
      <c r="BP40" s="208" t="s">
        <v>386</v>
      </c>
      <c r="BQ40" s="208" t="s">
        <v>386</v>
      </c>
      <c r="BR40" s="208" t="s">
        <v>386</v>
      </c>
      <c r="BS40" s="209" t="s">
        <v>386</v>
      </c>
      <c r="BT40" s="208" t="s">
        <v>386</v>
      </c>
      <c r="BU40" s="208" t="s">
        <v>386</v>
      </c>
      <c r="BV40" s="208" t="s">
        <v>386</v>
      </c>
      <c r="BW40" s="208" t="s">
        <v>386</v>
      </c>
      <c r="BX40" s="209" t="s">
        <v>386</v>
      </c>
      <c r="BY40" s="208" t="s">
        <v>386</v>
      </c>
      <c r="BZ40" s="208" t="s">
        <v>386</v>
      </c>
      <c r="CA40" s="208" t="s">
        <v>386</v>
      </c>
      <c r="CB40" s="208" t="s">
        <v>386</v>
      </c>
      <c r="CC40" s="208" t="s">
        <v>386</v>
      </c>
      <c r="CD40" s="207" t="s">
        <v>386</v>
      </c>
      <c r="CE40" s="208" t="s">
        <v>386</v>
      </c>
      <c r="CF40" s="208" t="s">
        <v>386</v>
      </c>
      <c r="CG40" s="208" t="s">
        <v>386</v>
      </c>
      <c r="CH40" s="209" t="s">
        <v>386</v>
      </c>
    </row>
    <row r="41" spans="1:86" x14ac:dyDescent="0.25">
      <c r="A41" s="91" t="s">
        <v>70</v>
      </c>
      <c r="B41" s="207">
        <v>66.52</v>
      </c>
      <c r="C41" s="208">
        <v>47.96</v>
      </c>
      <c r="D41" s="208">
        <v>55.75</v>
      </c>
      <c r="E41" s="208">
        <v>51.66</v>
      </c>
      <c r="F41" s="208">
        <v>61.550000000000004</v>
      </c>
      <c r="G41" s="207">
        <v>31.67</v>
      </c>
      <c r="H41" s="208">
        <v>27.6</v>
      </c>
      <c r="I41" s="208">
        <v>30.28</v>
      </c>
      <c r="J41" s="208">
        <v>32.22</v>
      </c>
      <c r="K41" s="209">
        <v>30.62</v>
      </c>
      <c r="L41" s="208">
        <v>116.01</v>
      </c>
      <c r="M41" s="208">
        <v>103.45</v>
      </c>
      <c r="N41" s="208">
        <v>108.61</v>
      </c>
      <c r="O41" s="208">
        <v>98.53</v>
      </c>
      <c r="P41" s="208">
        <v>126.08</v>
      </c>
      <c r="Q41" s="207">
        <v>86.84</v>
      </c>
      <c r="R41" s="208">
        <v>71.330000000000013</v>
      </c>
      <c r="S41" s="208">
        <v>60.53</v>
      </c>
      <c r="T41" s="208">
        <v>68.790000000000006</v>
      </c>
      <c r="U41" s="209">
        <v>93.820000000000007</v>
      </c>
      <c r="V41" s="208">
        <v>104.69</v>
      </c>
      <c r="W41" s="208">
        <v>75.36</v>
      </c>
      <c r="X41" s="208">
        <v>74.680000000000007</v>
      </c>
      <c r="Y41" s="208">
        <v>72.2</v>
      </c>
      <c r="Z41" s="208">
        <v>112.29</v>
      </c>
      <c r="AA41" s="207">
        <v>34.270000000000003</v>
      </c>
      <c r="AB41" s="208">
        <v>19.2</v>
      </c>
      <c r="AC41" s="208">
        <v>27.89</v>
      </c>
      <c r="AD41" s="208">
        <v>19.2</v>
      </c>
      <c r="AE41" s="208">
        <v>26.89</v>
      </c>
      <c r="AF41" s="229" t="s">
        <v>386</v>
      </c>
      <c r="AG41" s="220" t="s">
        <v>386</v>
      </c>
      <c r="AH41" s="220" t="s">
        <v>386</v>
      </c>
      <c r="AI41" s="220" t="s">
        <v>386</v>
      </c>
      <c r="AJ41" s="224" t="s">
        <v>386</v>
      </c>
      <c r="AK41" s="208">
        <v>2279.0500000000002</v>
      </c>
      <c r="AL41" s="208">
        <v>1794.66</v>
      </c>
      <c r="AM41" s="208">
        <v>2130.23</v>
      </c>
      <c r="AN41" s="208">
        <v>1866.0300000000002</v>
      </c>
      <c r="AO41" s="208">
        <v>1933.85</v>
      </c>
      <c r="AP41" s="207">
        <v>2104.5700000000002</v>
      </c>
      <c r="AQ41" s="208">
        <v>2079.31</v>
      </c>
      <c r="AR41" s="208">
        <v>1972.5</v>
      </c>
      <c r="AS41" s="208">
        <v>1882.69</v>
      </c>
      <c r="AT41" s="209">
        <v>1908.68</v>
      </c>
      <c r="AU41" s="208">
        <v>2595.2399999999998</v>
      </c>
      <c r="AV41" s="208">
        <v>2336.63</v>
      </c>
      <c r="AW41" s="208">
        <v>2440.73</v>
      </c>
      <c r="AX41" s="208">
        <v>2304.29</v>
      </c>
      <c r="AY41" s="208">
        <v>2341.0500000000002</v>
      </c>
      <c r="AZ41" s="207">
        <v>1801</v>
      </c>
      <c r="BA41" s="208">
        <v>1318</v>
      </c>
      <c r="BB41" s="208">
        <v>1308</v>
      </c>
      <c r="BC41" s="208">
        <v>1242</v>
      </c>
      <c r="BD41" s="209">
        <v>1261</v>
      </c>
      <c r="BE41" s="208" t="s">
        <v>386</v>
      </c>
      <c r="BF41" s="208" t="s">
        <v>386</v>
      </c>
      <c r="BG41" s="208" t="s">
        <v>386</v>
      </c>
      <c r="BH41" s="208" t="s">
        <v>386</v>
      </c>
      <c r="BI41" s="208" t="s">
        <v>386</v>
      </c>
      <c r="BJ41" s="207">
        <v>810</v>
      </c>
      <c r="BK41" s="208">
        <v>756</v>
      </c>
      <c r="BL41" s="208">
        <v>626.4</v>
      </c>
      <c r="BM41" s="208">
        <v>626.4</v>
      </c>
      <c r="BN41" s="209">
        <v>627</v>
      </c>
      <c r="BO41" s="208">
        <v>1775</v>
      </c>
      <c r="BP41" s="208">
        <v>1393</v>
      </c>
      <c r="BQ41" s="208">
        <v>1688</v>
      </c>
      <c r="BR41" s="208">
        <v>1487</v>
      </c>
      <c r="BS41" s="209">
        <v>1561</v>
      </c>
      <c r="BT41" s="208" t="s">
        <v>386</v>
      </c>
      <c r="BU41" s="208" t="s">
        <v>386</v>
      </c>
      <c r="BV41" s="208" t="s">
        <v>386</v>
      </c>
      <c r="BW41" s="208" t="s">
        <v>386</v>
      </c>
      <c r="BX41" s="209" t="s">
        <v>386</v>
      </c>
      <c r="BY41" s="208">
        <v>1875</v>
      </c>
      <c r="BZ41" s="208">
        <v>1921</v>
      </c>
      <c r="CA41" s="208">
        <v>1873</v>
      </c>
      <c r="CB41" s="208">
        <v>1746</v>
      </c>
      <c r="CC41" s="208">
        <v>1774</v>
      </c>
      <c r="CD41" s="207" t="s">
        <v>386</v>
      </c>
      <c r="CE41" s="208" t="s">
        <v>386</v>
      </c>
      <c r="CF41" s="208" t="s">
        <v>386</v>
      </c>
      <c r="CG41" s="208" t="s">
        <v>386</v>
      </c>
      <c r="CH41" s="209" t="s">
        <v>386</v>
      </c>
    </row>
    <row r="42" spans="1:86" x14ac:dyDescent="0.25">
      <c r="A42" s="91" t="s">
        <v>71</v>
      </c>
      <c r="B42" s="207">
        <v>62.91</v>
      </c>
      <c r="C42" s="208">
        <v>67.44</v>
      </c>
      <c r="D42" s="208">
        <v>59.339999999999996</v>
      </c>
      <c r="E42" s="208">
        <v>57.19</v>
      </c>
      <c r="F42" s="208">
        <v>49.93</v>
      </c>
      <c r="G42" s="207">
        <v>45.32</v>
      </c>
      <c r="H42" s="208">
        <v>43.27</v>
      </c>
      <c r="I42" s="208">
        <v>43.6</v>
      </c>
      <c r="J42" s="208">
        <v>44.379999999999995</v>
      </c>
      <c r="K42" s="209">
        <v>41.239999999999995</v>
      </c>
      <c r="L42" s="208">
        <v>189.99</v>
      </c>
      <c r="M42" s="208">
        <v>180.15</v>
      </c>
      <c r="N42" s="208">
        <v>178.08</v>
      </c>
      <c r="O42" s="208">
        <v>179.28</v>
      </c>
      <c r="P42" s="208">
        <v>173.83</v>
      </c>
      <c r="Q42" s="207">
        <v>70</v>
      </c>
      <c r="R42" s="208">
        <v>70</v>
      </c>
      <c r="S42" s="208">
        <v>71</v>
      </c>
      <c r="T42" s="208">
        <v>83</v>
      </c>
      <c r="U42" s="209">
        <v>77</v>
      </c>
      <c r="V42" s="208">
        <v>55.65</v>
      </c>
      <c r="W42" s="208">
        <v>79.02</v>
      </c>
      <c r="X42" s="208">
        <v>77.67</v>
      </c>
      <c r="Y42" s="208">
        <v>74.010000000000005</v>
      </c>
      <c r="Z42" s="208">
        <v>60.8</v>
      </c>
      <c r="AA42" s="207">
        <v>21</v>
      </c>
      <c r="AB42" s="208">
        <v>12.8</v>
      </c>
      <c r="AC42" s="208">
        <v>28</v>
      </c>
      <c r="AD42" s="208">
        <v>15</v>
      </c>
      <c r="AE42" s="208">
        <v>23</v>
      </c>
      <c r="AF42" s="229">
        <v>78</v>
      </c>
      <c r="AG42" s="220">
        <v>67</v>
      </c>
      <c r="AH42" s="220">
        <v>82</v>
      </c>
      <c r="AI42" s="220">
        <v>88</v>
      </c>
      <c r="AJ42" s="224">
        <v>86</v>
      </c>
      <c r="AK42" s="208">
        <v>1496</v>
      </c>
      <c r="AL42" s="208">
        <v>1012</v>
      </c>
      <c r="AM42" s="208">
        <v>1900</v>
      </c>
      <c r="AN42" s="208">
        <v>2620</v>
      </c>
      <c r="AO42" s="208">
        <v>1970.8</v>
      </c>
      <c r="AP42" s="207">
        <v>2036.68</v>
      </c>
      <c r="AQ42" s="208">
        <v>2466.41</v>
      </c>
      <c r="AR42" s="208">
        <v>2628.81</v>
      </c>
      <c r="AS42" s="208">
        <v>2457.11</v>
      </c>
      <c r="AT42" s="209">
        <v>1829.56</v>
      </c>
      <c r="AU42" s="208">
        <v>2727</v>
      </c>
      <c r="AV42" s="208">
        <v>1286.4000000000001</v>
      </c>
      <c r="AW42" s="208">
        <v>2073</v>
      </c>
      <c r="AX42" s="208">
        <v>3235</v>
      </c>
      <c r="AY42" s="208">
        <v>1687</v>
      </c>
      <c r="AZ42" s="207" t="s">
        <v>386</v>
      </c>
      <c r="BA42" s="208" t="s">
        <v>386</v>
      </c>
      <c r="BB42" s="208" t="s">
        <v>386</v>
      </c>
      <c r="BC42" s="208" t="s">
        <v>386</v>
      </c>
      <c r="BD42" s="209" t="s">
        <v>386</v>
      </c>
      <c r="BE42" s="208" t="s">
        <v>386</v>
      </c>
      <c r="BF42" s="208" t="s">
        <v>386</v>
      </c>
      <c r="BG42" s="208" t="s">
        <v>386</v>
      </c>
      <c r="BH42" s="208" t="s">
        <v>386</v>
      </c>
      <c r="BI42" s="208" t="s">
        <v>386</v>
      </c>
      <c r="BJ42" s="207" t="s">
        <v>386</v>
      </c>
      <c r="BK42" s="208" t="s">
        <v>386</v>
      </c>
      <c r="BL42" s="208" t="s">
        <v>386</v>
      </c>
      <c r="BM42" s="208" t="s">
        <v>386</v>
      </c>
      <c r="BN42" s="209" t="s">
        <v>386</v>
      </c>
      <c r="BO42" s="208" t="s">
        <v>386</v>
      </c>
      <c r="BP42" s="208" t="s">
        <v>386</v>
      </c>
      <c r="BQ42" s="208" t="s">
        <v>386</v>
      </c>
      <c r="BR42" s="208" t="s">
        <v>386</v>
      </c>
      <c r="BS42" s="209" t="s">
        <v>386</v>
      </c>
      <c r="BT42" s="208" t="s">
        <v>386</v>
      </c>
      <c r="BU42" s="208" t="s">
        <v>386</v>
      </c>
      <c r="BV42" s="208" t="s">
        <v>386</v>
      </c>
      <c r="BW42" s="208" t="s">
        <v>386</v>
      </c>
      <c r="BX42" s="209" t="s">
        <v>386</v>
      </c>
      <c r="BY42" s="208" t="s">
        <v>386</v>
      </c>
      <c r="BZ42" s="208" t="s">
        <v>386</v>
      </c>
      <c r="CA42" s="208" t="s">
        <v>386</v>
      </c>
      <c r="CB42" s="208" t="s">
        <v>386</v>
      </c>
      <c r="CC42" s="208" t="s">
        <v>386</v>
      </c>
      <c r="CD42" s="207" t="s">
        <v>386</v>
      </c>
      <c r="CE42" s="208" t="s">
        <v>386</v>
      </c>
      <c r="CF42" s="208" t="s">
        <v>386</v>
      </c>
      <c r="CG42" s="208" t="s">
        <v>386</v>
      </c>
      <c r="CH42" s="209" t="s">
        <v>386</v>
      </c>
    </row>
    <row r="43" spans="1:86" x14ac:dyDescent="0.25">
      <c r="A43" s="91" t="s">
        <v>72</v>
      </c>
      <c r="B43" s="207">
        <v>58.22</v>
      </c>
      <c r="C43" s="208">
        <v>46.95</v>
      </c>
      <c r="D43" s="208">
        <v>61.2</v>
      </c>
      <c r="E43" s="208">
        <v>54.74</v>
      </c>
      <c r="F43" s="208">
        <v>66.95</v>
      </c>
      <c r="G43" s="207">
        <v>31.840000000000003</v>
      </c>
      <c r="H43" s="208">
        <v>28.4</v>
      </c>
      <c r="I43" s="208">
        <v>42</v>
      </c>
      <c r="J43" s="208">
        <v>27.599999999999998</v>
      </c>
      <c r="K43" s="209">
        <v>41.94</v>
      </c>
      <c r="L43" s="208">
        <v>102.95</v>
      </c>
      <c r="M43" s="208">
        <v>89.4</v>
      </c>
      <c r="N43" s="208">
        <v>129.47999999999999</v>
      </c>
      <c r="O43" s="208">
        <v>81.319999999999993</v>
      </c>
      <c r="P43" s="208">
        <v>140.20999999999998</v>
      </c>
      <c r="Q43" s="207">
        <v>88.24</v>
      </c>
      <c r="R43" s="208">
        <v>58.45</v>
      </c>
      <c r="S43" s="208">
        <v>85.589999999999989</v>
      </c>
      <c r="T43" s="208">
        <v>83.830000000000013</v>
      </c>
      <c r="U43" s="209">
        <v>85.73</v>
      </c>
      <c r="V43" s="208">
        <v>98.88</v>
      </c>
      <c r="W43" s="208">
        <v>64</v>
      </c>
      <c r="X43" s="208">
        <v>110.32</v>
      </c>
      <c r="Y43" s="208">
        <v>70.59</v>
      </c>
      <c r="Z43" s="208">
        <v>117.37</v>
      </c>
      <c r="AA43" s="207">
        <v>30.55</v>
      </c>
      <c r="AB43" s="208">
        <v>20</v>
      </c>
      <c r="AC43" s="208">
        <v>28.41</v>
      </c>
      <c r="AD43" s="208">
        <v>23.22</v>
      </c>
      <c r="AE43" s="208">
        <v>28</v>
      </c>
      <c r="AF43" s="229" t="s">
        <v>386</v>
      </c>
      <c r="AG43" s="220" t="s">
        <v>386</v>
      </c>
      <c r="AH43" s="220" t="s">
        <v>386</v>
      </c>
      <c r="AI43" s="220" t="s">
        <v>386</v>
      </c>
      <c r="AJ43" s="224" t="s">
        <v>386</v>
      </c>
      <c r="AK43" s="208">
        <v>2316.96</v>
      </c>
      <c r="AL43" s="208">
        <v>1647.3</v>
      </c>
      <c r="AM43" s="208">
        <v>2326.39</v>
      </c>
      <c r="AN43" s="208">
        <v>1852.13</v>
      </c>
      <c r="AO43" s="208">
        <v>1988.71</v>
      </c>
      <c r="AP43" s="207">
        <v>2314.12</v>
      </c>
      <c r="AQ43" s="208">
        <v>1786.7800000000002</v>
      </c>
      <c r="AR43" s="208">
        <v>2719.2799999999997</v>
      </c>
      <c r="AS43" s="208">
        <v>2209.2600000000002</v>
      </c>
      <c r="AT43" s="209">
        <v>2113.59</v>
      </c>
      <c r="AU43" s="208">
        <v>2793.04</v>
      </c>
      <c r="AV43" s="208">
        <v>1977.6</v>
      </c>
      <c r="AW43" s="208">
        <v>2664</v>
      </c>
      <c r="AX43" s="208">
        <v>1971.2</v>
      </c>
      <c r="AY43" s="208">
        <v>2432.48</v>
      </c>
      <c r="AZ43" s="207" t="s">
        <v>386</v>
      </c>
      <c r="BA43" s="208" t="s">
        <v>386</v>
      </c>
      <c r="BB43" s="208" t="s">
        <v>386</v>
      </c>
      <c r="BC43" s="208" t="s">
        <v>386</v>
      </c>
      <c r="BD43" s="209" t="s">
        <v>386</v>
      </c>
      <c r="BE43" s="208" t="s">
        <v>386</v>
      </c>
      <c r="BF43" s="208" t="s">
        <v>386</v>
      </c>
      <c r="BG43" s="208" t="s">
        <v>386</v>
      </c>
      <c r="BH43" s="208" t="s">
        <v>386</v>
      </c>
      <c r="BI43" s="208" t="s">
        <v>386</v>
      </c>
      <c r="BJ43" s="207">
        <v>808</v>
      </c>
      <c r="BK43" s="208">
        <v>609.6</v>
      </c>
      <c r="BL43" s="208">
        <v>656</v>
      </c>
      <c r="BM43" s="208">
        <v>592.79999999999995</v>
      </c>
      <c r="BN43" s="209">
        <v>640</v>
      </c>
      <c r="BO43" s="208" t="s">
        <v>386</v>
      </c>
      <c r="BP43" s="208" t="s">
        <v>386</v>
      </c>
      <c r="BQ43" s="208" t="s">
        <v>386</v>
      </c>
      <c r="BR43" s="208" t="s">
        <v>386</v>
      </c>
      <c r="BS43" s="209" t="s">
        <v>386</v>
      </c>
      <c r="BT43" s="208" t="s">
        <v>386</v>
      </c>
      <c r="BU43" s="208" t="s">
        <v>386</v>
      </c>
      <c r="BV43" s="208" t="s">
        <v>386</v>
      </c>
      <c r="BW43" s="208" t="s">
        <v>386</v>
      </c>
      <c r="BX43" s="209" t="s">
        <v>386</v>
      </c>
      <c r="BY43" s="208" t="s">
        <v>386</v>
      </c>
      <c r="BZ43" s="208" t="s">
        <v>386</v>
      </c>
      <c r="CA43" s="208" t="s">
        <v>386</v>
      </c>
      <c r="CB43" s="208" t="s">
        <v>386</v>
      </c>
      <c r="CC43" s="208" t="s">
        <v>386</v>
      </c>
      <c r="CD43" s="207" t="s">
        <v>386</v>
      </c>
      <c r="CE43" s="208" t="s">
        <v>386</v>
      </c>
      <c r="CF43" s="208" t="s">
        <v>386</v>
      </c>
      <c r="CG43" s="208" t="s">
        <v>386</v>
      </c>
      <c r="CH43" s="209" t="s">
        <v>386</v>
      </c>
    </row>
    <row r="44" spans="1:86" x14ac:dyDescent="0.25">
      <c r="A44" s="91" t="s">
        <v>73</v>
      </c>
      <c r="B44" s="207">
        <v>60.96</v>
      </c>
      <c r="C44" s="208">
        <v>49.79</v>
      </c>
      <c r="D44" s="208">
        <v>54.76</v>
      </c>
      <c r="E44" s="208">
        <v>61.629999999999995</v>
      </c>
      <c r="F44" s="208">
        <v>59.110000000000007</v>
      </c>
      <c r="G44" s="207">
        <v>47.03</v>
      </c>
      <c r="H44" s="208">
        <v>35.630000000000003</v>
      </c>
      <c r="I44" s="208">
        <v>44.49</v>
      </c>
      <c r="J44" s="208">
        <v>47.32</v>
      </c>
      <c r="K44" s="209">
        <v>40.65</v>
      </c>
      <c r="L44" s="208">
        <v>192.59</v>
      </c>
      <c r="M44" s="208">
        <v>148.96</v>
      </c>
      <c r="N44" s="208">
        <v>172.19</v>
      </c>
      <c r="O44" s="208">
        <v>185.06</v>
      </c>
      <c r="P44" s="208">
        <v>193.66</v>
      </c>
      <c r="Q44" s="207">
        <v>72</v>
      </c>
      <c r="R44" s="208">
        <v>48</v>
      </c>
      <c r="S44" s="208">
        <v>84</v>
      </c>
      <c r="T44" s="208">
        <v>71</v>
      </c>
      <c r="U44" s="209">
        <v>75</v>
      </c>
      <c r="V44" s="208">
        <v>73</v>
      </c>
      <c r="W44" s="208">
        <v>70.400000000000006</v>
      </c>
      <c r="X44" s="208">
        <v>73</v>
      </c>
      <c r="Y44" s="208">
        <v>74</v>
      </c>
      <c r="Z44" s="208">
        <v>77.48</v>
      </c>
      <c r="AA44" s="207">
        <v>19</v>
      </c>
      <c r="AB44" s="208">
        <v>12.8</v>
      </c>
      <c r="AC44" s="208">
        <v>27</v>
      </c>
      <c r="AD44" s="208">
        <v>15</v>
      </c>
      <c r="AE44" s="208">
        <v>20</v>
      </c>
      <c r="AF44" s="229">
        <v>79</v>
      </c>
      <c r="AG44" s="220">
        <v>55</v>
      </c>
      <c r="AH44" s="220">
        <v>79</v>
      </c>
      <c r="AI44" s="220">
        <v>91</v>
      </c>
      <c r="AJ44" s="224">
        <v>97</v>
      </c>
      <c r="AK44" s="208">
        <v>1460</v>
      </c>
      <c r="AL44" s="208">
        <v>964.8</v>
      </c>
      <c r="AM44" s="208">
        <v>1816</v>
      </c>
      <c r="AN44" s="208">
        <v>2620</v>
      </c>
      <c r="AO44" s="208">
        <v>2094</v>
      </c>
      <c r="AP44" s="207">
        <v>2072.84</v>
      </c>
      <c r="AQ44" s="208">
        <v>2472.6999999999998</v>
      </c>
      <c r="AR44" s="208">
        <v>2517.56</v>
      </c>
      <c r="AS44" s="208">
        <v>2736.9700000000003</v>
      </c>
      <c r="AT44" s="209">
        <v>1832.28</v>
      </c>
      <c r="AU44" s="208" t="s">
        <v>386</v>
      </c>
      <c r="AV44" s="208" t="s">
        <v>386</v>
      </c>
      <c r="AW44" s="208" t="s">
        <v>386</v>
      </c>
      <c r="AX44" s="208" t="s">
        <v>386</v>
      </c>
      <c r="AY44" s="208" t="s">
        <v>386</v>
      </c>
      <c r="AZ44" s="207" t="s">
        <v>386</v>
      </c>
      <c r="BA44" s="208" t="s">
        <v>386</v>
      </c>
      <c r="BB44" s="208" t="s">
        <v>386</v>
      </c>
      <c r="BC44" s="208" t="s">
        <v>386</v>
      </c>
      <c r="BD44" s="209" t="s">
        <v>386</v>
      </c>
      <c r="BE44" s="208" t="s">
        <v>386</v>
      </c>
      <c r="BF44" s="208" t="s">
        <v>386</v>
      </c>
      <c r="BG44" s="208" t="s">
        <v>386</v>
      </c>
      <c r="BH44" s="208" t="s">
        <v>386</v>
      </c>
      <c r="BI44" s="208" t="s">
        <v>386</v>
      </c>
      <c r="BJ44" s="207" t="s">
        <v>386</v>
      </c>
      <c r="BK44" s="208" t="s">
        <v>386</v>
      </c>
      <c r="BL44" s="208" t="s">
        <v>386</v>
      </c>
      <c r="BM44" s="208" t="s">
        <v>386</v>
      </c>
      <c r="BN44" s="209" t="s">
        <v>386</v>
      </c>
      <c r="BO44" s="208" t="s">
        <v>386</v>
      </c>
      <c r="BP44" s="208" t="s">
        <v>386</v>
      </c>
      <c r="BQ44" s="208" t="s">
        <v>386</v>
      </c>
      <c r="BR44" s="208" t="s">
        <v>386</v>
      </c>
      <c r="BS44" s="209" t="s">
        <v>386</v>
      </c>
      <c r="BT44" s="208" t="s">
        <v>386</v>
      </c>
      <c r="BU44" s="208" t="s">
        <v>386</v>
      </c>
      <c r="BV44" s="208" t="s">
        <v>386</v>
      </c>
      <c r="BW44" s="208" t="s">
        <v>386</v>
      </c>
      <c r="BX44" s="209" t="s">
        <v>386</v>
      </c>
      <c r="BY44" s="208" t="s">
        <v>386</v>
      </c>
      <c r="BZ44" s="208" t="s">
        <v>386</v>
      </c>
      <c r="CA44" s="208" t="s">
        <v>386</v>
      </c>
      <c r="CB44" s="208" t="s">
        <v>386</v>
      </c>
      <c r="CC44" s="208" t="s">
        <v>386</v>
      </c>
      <c r="CD44" s="207" t="s">
        <v>386</v>
      </c>
      <c r="CE44" s="208" t="s">
        <v>386</v>
      </c>
      <c r="CF44" s="208" t="s">
        <v>386</v>
      </c>
      <c r="CG44" s="208" t="s">
        <v>386</v>
      </c>
      <c r="CH44" s="209" t="s">
        <v>386</v>
      </c>
    </row>
    <row r="45" spans="1:86" x14ac:dyDescent="0.25">
      <c r="A45" s="91" t="s">
        <v>74</v>
      </c>
      <c r="B45" s="207">
        <v>53.33</v>
      </c>
      <c r="C45" s="208">
        <v>39.450000000000003</v>
      </c>
      <c r="D45" s="208">
        <v>57.43</v>
      </c>
      <c r="E45" s="208">
        <v>58.61</v>
      </c>
      <c r="F45" s="208">
        <v>62.75</v>
      </c>
      <c r="G45" s="207">
        <v>34.83</v>
      </c>
      <c r="H45" s="208">
        <v>29.099999999999998</v>
      </c>
      <c r="I45" s="208">
        <v>33.33</v>
      </c>
      <c r="J45" s="208">
        <v>39.46</v>
      </c>
      <c r="K45" s="209">
        <v>42.07</v>
      </c>
      <c r="L45" s="208">
        <v>123.86</v>
      </c>
      <c r="M45" s="208">
        <v>98.4</v>
      </c>
      <c r="N45" s="208">
        <v>133.94</v>
      </c>
      <c r="O45" s="208">
        <v>147.35999999999999</v>
      </c>
      <c r="P45" s="208">
        <v>159.67999999999998</v>
      </c>
      <c r="Q45" s="207">
        <v>68.64</v>
      </c>
      <c r="R45" s="208">
        <v>52</v>
      </c>
      <c r="S45" s="208">
        <v>79.91</v>
      </c>
      <c r="T45" s="208">
        <v>75.900000000000006</v>
      </c>
      <c r="U45" s="209">
        <v>76.77</v>
      </c>
      <c r="V45" s="208">
        <v>78</v>
      </c>
      <c r="W45" s="208">
        <v>48.8</v>
      </c>
      <c r="X45" s="208">
        <v>79.55</v>
      </c>
      <c r="Y45" s="208">
        <v>85.36</v>
      </c>
      <c r="Z45" s="208">
        <v>95.59</v>
      </c>
      <c r="AA45" s="207">
        <v>19.68</v>
      </c>
      <c r="AB45" s="208">
        <v>12.8</v>
      </c>
      <c r="AC45" s="208">
        <v>16.36</v>
      </c>
      <c r="AD45" s="208">
        <v>18.25</v>
      </c>
      <c r="AE45" s="208">
        <v>12.8</v>
      </c>
      <c r="AF45" s="229">
        <v>49</v>
      </c>
      <c r="AG45" s="220">
        <v>20.8</v>
      </c>
      <c r="AH45" s="220">
        <v>60</v>
      </c>
      <c r="AI45" s="220">
        <v>72</v>
      </c>
      <c r="AJ45" s="224">
        <v>79</v>
      </c>
      <c r="AK45" s="208">
        <v>2304.3399999999997</v>
      </c>
      <c r="AL45" s="208">
        <v>1479</v>
      </c>
      <c r="AM45" s="208">
        <v>1829.27</v>
      </c>
      <c r="AN45" s="208">
        <v>2298.44</v>
      </c>
      <c r="AO45" s="208">
        <v>1903.77</v>
      </c>
      <c r="AP45" s="207">
        <v>2444.71</v>
      </c>
      <c r="AQ45" s="208">
        <v>1803.57</v>
      </c>
      <c r="AR45" s="208">
        <v>2609.0800000000004</v>
      </c>
      <c r="AS45" s="208">
        <v>2522.64</v>
      </c>
      <c r="AT45" s="209">
        <v>1823.2</v>
      </c>
      <c r="AU45" s="208">
        <v>2323</v>
      </c>
      <c r="AV45" s="208">
        <v>1866.4</v>
      </c>
      <c r="AW45" s="208">
        <v>2269</v>
      </c>
      <c r="AX45" s="208">
        <v>2296</v>
      </c>
      <c r="AY45" s="208">
        <v>2704</v>
      </c>
      <c r="AZ45" s="207">
        <v>1612</v>
      </c>
      <c r="BA45" s="208">
        <v>750.4</v>
      </c>
      <c r="BB45" s="208">
        <v>1216</v>
      </c>
      <c r="BC45" s="208">
        <v>1237</v>
      </c>
      <c r="BD45" s="209">
        <v>1576</v>
      </c>
      <c r="BE45" s="208" t="s">
        <v>386</v>
      </c>
      <c r="BF45" s="208" t="s">
        <v>386</v>
      </c>
      <c r="BG45" s="208" t="s">
        <v>386</v>
      </c>
      <c r="BH45" s="208" t="s">
        <v>386</v>
      </c>
      <c r="BI45" s="208" t="s">
        <v>386</v>
      </c>
      <c r="BJ45" s="207">
        <v>814</v>
      </c>
      <c r="BK45" s="208">
        <v>609.6</v>
      </c>
      <c r="BL45" s="208">
        <v>592.79999999999995</v>
      </c>
      <c r="BM45" s="208">
        <v>738</v>
      </c>
      <c r="BN45" s="209">
        <v>615</v>
      </c>
      <c r="BO45" s="208" t="s">
        <v>386</v>
      </c>
      <c r="BP45" s="208" t="s">
        <v>386</v>
      </c>
      <c r="BQ45" s="208" t="s">
        <v>386</v>
      </c>
      <c r="BR45" s="208" t="s">
        <v>386</v>
      </c>
      <c r="BS45" s="209" t="s">
        <v>386</v>
      </c>
      <c r="BT45" s="208" t="s">
        <v>386</v>
      </c>
      <c r="BU45" s="208" t="s">
        <v>386</v>
      </c>
      <c r="BV45" s="208" t="s">
        <v>386</v>
      </c>
      <c r="BW45" s="208" t="s">
        <v>386</v>
      </c>
      <c r="BX45" s="209" t="s">
        <v>386</v>
      </c>
      <c r="BY45" s="208" t="s">
        <v>386</v>
      </c>
      <c r="BZ45" s="208" t="s">
        <v>386</v>
      </c>
      <c r="CA45" s="208" t="s">
        <v>386</v>
      </c>
      <c r="CB45" s="208" t="s">
        <v>386</v>
      </c>
      <c r="CC45" s="208" t="s">
        <v>386</v>
      </c>
      <c r="CD45" s="207" t="s">
        <v>386</v>
      </c>
      <c r="CE45" s="208" t="s">
        <v>386</v>
      </c>
      <c r="CF45" s="208" t="s">
        <v>386</v>
      </c>
      <c r="CG45" s="208" t="s">
        <v>386</v>
      </c>
      <c r="CH45" s="209" t="s">
        <v>386</v>
      </c>
    </row>
    <row r="46" spans="1:86" x14ac:dyDescent="0.25">
      <c r="A46" s="91" t="s">
        <v>75</v>
      </c>
      <c r="B46" s="207">
        <v>37.5</v>
      </c>
      <c r="C46" s="208">
        <v>27.849999999999998</v>
      </c>
      <c r="D46" s="208">
        <v>41.59</v>
      </c>
      <c r="E46" s="208">
        <v>52.57</v>
      </c>
      <c r="F46" s="208">
        <v>51.22</v>
      </c>
      <c r="G46" s="207">
        <v>22.61</v>
      </c>
      <c r="H46" s="208">
        <v>21.52</v>
      </c>
      <c r="I46" s="208">
        <v>18.399999999999999</v>
      </c>
      <c r="J46" s="208">
        <v>36.46</v>
      </c>
      <c r="K46" s="209">
        <v>29.4</v>
      </c>
      <c r="L46" s="208">
        <v>68.39</v>
      </c>
      <c r="M46" s="208">
        <v>65.599999999999994</v>
      </c>
      <c r="N46" s="208">
        <v>65.599999999999994</v>
      </c>
      <c r="O46" s="208">
        <v>122.78</v>
      </c>
      <c r="P46" s="208">
        <v>106.79</v>
      </c>
      <c r="Q46" s="207">
        <v>51</v>
      </c>
      <c r="R46" s="208">
        <v>32.799999999999997</v>
      </c>
      <c r="S46" s="208">
        <v>59</v>
      </c>
      <c r="T46" s="208">
        <v>36</v>
      </c>
      <c r="U46" s="209">
        <v>70</v>
      </c>
      <c r="V46" s="208">
        <v>38.4</v>
      </c>
      <c r="W46" s="208">
        <v>43.2</v>
      </c>
      <c r="X46" s="208">
        <v>60.58</v>
      </c>
      <c r="Y46" s="208">
        <v>75.87</v>
      </c>
      <c r="Z46" s="208">
        <v>103.9</v>
      </c>
      <c r="AA46" s="207">
        <v>21</v>
      </c>
      <c r="AB46" s="208">
        <v>12</v>
      </c>
      <c r="AC46" s="208">
        <v>15</v>
      </c>
      <c r="AD46" s="208">
        <v>23</v>
      </c>
      <c r="AE46" s="208">
        <v>20</v>
      </c>
      <c r="AF46" s="229">
        <v>30</v>
      </c>
      <c r="AG46" s="220">
        <v>25</v>
      </c>
      <c r="AH46" s="220">
        <v>28</v>
      </c>
      <c r="AI46" s="220">
        <v>64</v>
      </c>
      <c r="AJ46" s="224">
        <v>57</v>
      </c>
      <c r="AK46" s="208">
        <v>1658</v>
      </c>
      <c r="AL46" s="208">
        <v>900</v>
      </c>
      <c r="AM46" s="208">
        <v>1836</v>
      </c>
      <c r="AN46" s="208">
        <v>2518.6799999999998</v>
      </c>
      <c r="AO46" s="208">
        <v>1967.25</v>
      </c>
      <c r="AP46" s="207">
        <v>1336.6799999999998</v>
      </c>
      <c r="AQ46" s="208">
        <v>1949.0700000000002</v>
      </c>
      <c r="AR46" s="208">
        <v>1662.23</v>
      </c>
      <c r="AS46" s="208">
        <v>2021.8999999999999</v>
      </c>
      <c r="AT46" s="209">
        <v>1849.9799999999998</v>
      </c>
      <c r="AU46" s="208">
        <v>1865</v>
      </c>
      <c r="AV46" s="208">
        <v>1112</v>
      </c>
      <c r="AW46" s="208">
        <v>1732</v>
      </c>
      <c r="AX46" s="208">
        <v>3074</v>
      </c>
      <c r="AY46" s="208">
        <v>2812</v>
      </c>
      <c r="AZ46" s="207" t="s">
        <v>386</v>
      </c>
      <c r="BA46" s="208" t="s">
        <v>386</v>
      </c>
      <c r="BB46" s="208" t="s">
        <v>386</v>
      </c>
      <c r="BC46" s="208" t="s">
        <v>386</v>
      </c>
      <c r="BD46" s="209" t="s">
        <v>386</v>
      </c>
      <c r="BE46" s="208" t="s">
        <v>386</v>
      </c>
      <c r="BF46" s="208" t="s">
        <v>386</v>
      </c>
      <c r="BG46" s="208" t="s">
        <v>386</v>
      </c>
      <c r="BH46" s="208" t="s">
        <v>386</v>
      </c>
      <c r="BI46" s="208" t="s">
        <v>386</v>
      </c>
      <c r="BJ46" s="207" t="s">
        <v>386</v>
      </c>
      <c r="BK46" s="208" t="s">
        <v>386</v>
      </c>
      <c r="BL46" s="208" t="s">
        <v>386</v>
      </c>
      <c r="BM46" s="208" t="s">
        <v>386</v>
      </c>
      <c r="BN46" s="209" t="s">
        <v>386</v>
      </c>
      <c r="BO46" s="208" t="s">
        <v>386</v>
      </c>
      <c r="BP46" s="208" t="s">
        <v>386</v>
      </c>
      <c r="BQ46" s="208" t="s">
        <v>386</v>
      </c>
      <c r="BR46" s="208" t="s">
        <v>386</v>
      </c>
      <c r="BS46" s="209" t="s">
        <v>386</v>
      </c>
      <c r="BT46" s="208" t="s">
        <v>386</v>
      </c>
      <c r="BU46" s="208" t="s">
        <v>386</v>
      </c>
      <c r="BV46" s="208" t="s">
        <v>386</v>
      </c>
      <c r="BW46" s="208" t="s">
        <v>386</v>
      </c>
      <c r="BX46" s="209" t="s">
        <v>386</v>
      </c>
      <c r="BY46" s="208" t="s">
        <v>386</v>
      </c>
      <c r="BZ46" s="208" t="s">
        <v>386</v>
      </c>
      <c r="CA46" s="208" t="s">
        <v>386</v>
      </c>
      <c r="CB46" s="208" t="s">
        <v>386</v>
      </c>
      <c r="CC46" s="208" t="s">
        <v>386</v>
      </c>
      <c r="CD46" s="207" t="s">
        <v>386</v>
      </c>
      <c r="CE46" s="208" t="s">
        <v>386</v>
      </c>
      <c r="CF46" s="208" t="s">
        <v>386</v>
      </c>
      <c r="CG46" s="208" t="s">
        <v>386</v>
      </c>
      <c r="CH46" s="209" t="s">
        <v>386</v>
      </c>
    </row>
    <row r="47" spans="1:86" x14ac:dyDescent="0.25">
      <c r="A47" s="91" t="s">
        <v>76</v>
      </c>
      <c r="B47" s="207">
        <v>32.93</v>
      </c>
      <c r="C47" s="208">
        <v>31.799999999999997</v>
      </c>
      <c r="D47" s="208">
        <v>46.8</v>
      </c>
      <c r="E47" s="208">
        <v>58.830000000000005</v>
      </c>
      <c r="F47" s="208">
        <v>43.660000000000004</v>
      </c>
      <c r="G47" s="207">
        <v>16</v>
      </c>
      <c r="H47" s="208">
        <v>23</v>
      </c>
      <c r="I47" s="208">
        <v>18</v>
      </c>
      <c r="J47" s="208">
        <v>37</v>
      </c>
      <c r="K47" s="209">
        <v>15.2</v>
      </c>
      <c r="L47" s="208">
        <v>57.12</v>
      </c>
      <c r="M47" s="208">
        <v>56.800000000000004</v>
      </c>
      <c r="N47" s="208">
        <v>61.19</v>
      </c>
      <c r="O47" s="208">
        <v>121.99</v>
      </c>
      <c r="P47" s="208">
        <v>71.489999999999995</v>
      </c>
      <c r="Q47" s="207">
        <v>45.13</v>
      </c>
      <c r="R47" s="208">
        <v>34.4</v>
      </c>
      <c r="S47" s="208">
        <v>33.92</v>
      </c>
      <c r="T47" s="208">
        <v>65.44</v>
      </c>
      <c r="U47" s="209">
        <v>53.77</v>
      </c>
      <c r="V47" s="208">
        <v>63</v>
      </c>
      <c r="W47" s="208">
        <v>45.6</v>
      </c>
      <c r="X47" s="208">
        <v>87.33</v>
      </c>
      <c r="Y47" s="208">
        <v>71</v>
      </c>
      <c r="Z47" s="208">
        <v>46</v>
      </c>
      <c r="AA47" s="207">
        <v>14.4</v>
      </c>
      <c r="AB47" s="208">
        <v>15.2</v>
      </c>
      <c r="AC47" s="208">
        <v>17.57</v>
      </c>
      <c r="AD47" s="208">
        <v>28</v>
      </c>
      <c r="AE47" s="208">
        <v>23.53</v>
      </c>
      <c r="AF47" s="229">
        <v>20.8</v>
      </c>
      <c r="AG47" s="220">
        <v>20.8</v>
      </c>
      <c r="AH47" s="220">
        <v>27</v>
      </c>
      <c r="AI47" s="220">
        <v>60</v>
      </c>
      <c r="AJ47" s="224">
        <v>35</v>
      </c>
      <c r="AK47" s="208">
        <v>1562.23</v>
      </c>
      <c r="AL47" s="208">
        <v>1305.3499999999999</v>
      </c>
      <c r="AM47" s="208">
        <v>1654.0900000000001</v>
      </c>
      <c r="AN47" s="208">
        <v>2513.5</v>
      </c>
      <c r="AO47" s="208">
        <v>1866.22</v>
      </c>
      <c r="AP47" s="207">
        <v>1751.43</v>
      </c>
      <c r="AQ47" s="208">
        <v>1171.55</v>
      </c>
      <c r="AR47" s="208">
        <v>1662.96</v>
      </c>
      <c r="AS47" s="208">
        <v>2418.44</v>
      </c>
      <c r="AT47" s="209">
        <v>1591.77</v>
      </c>
      <c r="AU47" s="208">
        <v>2459.4899999999998</v>
      </c>
      <c r="AV47" s="208">
        <v>1535.2</v>
      </c>
      <c r="AW47" s="208">
        <v>2254.9699999999998</v>
      </c>
      <c r="AX47" s="208">
        <v>3582.65</v>
      </c>
      <c r="AY47" s="208">
        <v>1640.72</v>
      </c>
      <c r="AZ47" s="207">
        <v>1707</v>
      </c>
      <c r="BA47" s="208">
        <v>1044.8</v>
      </c>
      <c r="BB47" s="208">
        <v>1209</v>
      </c>
      <c r="BC47" s="208">
        <v>1930</v>
      </c>
      <c r="BD47" s="209">
        <v>1196</v>
      </c>
      <c r="BE47" s="208">
        <v>997</v>
      </c>
      <c r="BF47" s="208">
        <v>664</v>
      </c>
      <c r="BG47" s="208">
        <v>1066</v>
      </c>
      <c r="BH47" s="208">
        <v>981</v>
      </c>
      <c r="BI47" s="208">
        <v>993</v>
      </c>
      <c r="BJ47" s="207">
        <v>554</v>
      </c>
      <c r="BK47" s="208">
        <v>487.2</v>
      </c>
      <c r="BL47" s="208">
        <v>487.2</v>
      </c>
      <c r="BM47" s="208">
        <v>818</v>
      </c>
      <c r="BN47" s="209">
        <v>609</v>
      </c>
      <c r="BO47" s="208" t="s">
        <v>386</v>
      </c>
      <c r="BP47" s="208" t="s">
        <v>386</v>
      </c>
      <c r="BQ47" s="208" t="s">
        <v>386</v>
      </c>
      <c r="BR47" s="208" t="s">
        <v>386</v>
      </c>
      <c r="BS47" s="209" t="s">
        <v>386</v>
      </c>
      <c r="BT47" s="208" t="s">
        <v>386</v>
      </c>
      <c r="BU47" s="208" t="s">
        <v>386</v>
      </c>
      <c r="BV47" s="208" t="s">
        <v>386</v>
      </c>
      <c r="BW47" s="208" t="s">
        <v>386</v>
      </c>
      <c r="BX47" s="209" t="s">
        <v>386</v>
      </c>
      <c r="BY47" s="208" t="s">
        <v>386</v>
      </c>
      <c r="BZ47" s="208" t="s">
        <v>386</v>
      </c>
      <c r="CA47" s="208" t="s">
        <v>386</v>
      </c>
      <c r="CB47" s="208" t="s">
        <v>386</v>
      </c>
      <c r="CC47" s="208" t="s">
        <v>386</v>
      </c>
      <c r="CD47" s="207">
        <v>1719</v>
      </c>
      <c r="CE47" s="208">
        <v>1895</v>
      </c>
      <c r="CF47" s="208">
        <v>984</v>
      </c>
      <c r="CG47" s="208">
        <v>2207</v>
      </c>
      <c r="CH47" s="209">
        <v>3514</v>
      </c>
    </row>
    <row r="48" spans="1:86" x14ac:dyDescent="0.25">
      <c r="A48" s="91" t="s">
        <v>77</v>
      </c>
      <c r="B48" s="207">
        <v>37.94</v>
      </c>
      <c r="C48" s="208">
        <v>34.349999999999994</v>
      </c>
      <c r="D48" s="208">
        <v>48.410000000000004</v>
      </c>
      <c r="E48" s="208">
        <v>52.04</v>
      </c>
      <c r="F48" s="208">
        <v>50.37</v>
      </c>
      <c r="G48" s="207">
        <v>20.71</v>
      </c>
      <c r="H48" s="208">
        <v>20.63</v>
      </c>
      <c r="I48" s="208">
        <v>23.62</v>
      </c>
      <c r="J48" s="208">
        <v>39.049999999999997</v>
      </c>
      <c r="K48" s="209">
        <v>25.38</v>
      </c>
      <c r="L48" s="208">
        <v>76.84</v>
      </c>
      <c r="M48" s="208">
        <v>87.02</v>
      </c>
      <c r="N48" s="208">
        <v>83.74</v>
      </c>
      <c r="O48" s="208">
        <v>130.93</v>
      </c>
      <c r="P48" s="208">
        <v>95.64</v>
      </c>
      <c r="Q48" s="207">
        <v>62.67</v>
      </c>
      <c r="R48" s="208">
        <v>36.799999999999997</v>
      </c>
      <c r="S48" s="208">
        <v>64.86</v>
      </c>
      <c r="T48" s="208">
        <v>66.209999999999994</v>
      </c>
      <c r="U48" s="209">
        <v>66.47</v>
      </c>
      <c r="V48" s="208">
        <v>63.53</v>
      </c>
      <c r="W48" s="208">
        <v>54.4</v>
      </c>
      <c r="X48" s="208">
        <v>84.65</v>
      </c>
      <c r="Y48" s="208">
        <v>79.959999999999994</v>
      </c>
      <c r="Z48" s="208">
        <v>72.8</v>
      </c>
      <c r="AA48" s="207">
        <v>22.12</v>
      </c>
      <c r="AB48" s="208">
        <v>15.37</v>
      </c>
      <c r="AC48" s="208">
        <v>21.57</v>
      </c>
      <c r="AD48" s="208">
        <v>22.56</v>
      </c>
      <c r="AE48" s="208">
        <v>16</v>
      </c>
      <c r="AF48" s="229">
        <v>27</v>
      </c>
      <c r="AG48" s="220">
        <v>31</v>
      </c>
      <c r="AH48" s="220">
        <v>37</v>
      </c>
      <c r="AI48" s="220">
        <v>64</v>
      </c>
      <c r="AJ48" s="224">
        <v>47</v>
      </c>
      <c r="AK48" s="208">
        <v>1902.77</v>
      </c>
      <c r="AL48" s="208">
        <v>1510.77</v>
      </c>
      <c r="AM48" s="208">
        <v>1912.55</v>
      </c>
      <c r="AN48" s="208">
        <v>2262.4</v>
      </c>
      <c r="AO48" s="208">
        <v>2032.75</v>
      </c>
      <c r="AP48" s="207">
        <v>1735.78</v>
      </c>
      <c r="AQ48" s="208">
        <v>1963.85</v>
      </c>
      <c r="AR48" s="208">
        <v>1845.76</v>
      </c>
      <c r="AS48" s="208">
        <v>2331.2000000000003</v>
      </c>
      <c r="AT48" s="209">
        <v>1759.1399999999999</v>
      </c>
      <c r="AU48" s="208">
        <v>1486.72</v>
      </c>
      <c r="AV48" s="208">
        <v>1527.93</v>
      </c>
      <c r="AW48" s="208">
        <v>2437.81</v>
      </c>
      <c r="AX48" s="208">
        <v>3150.83</v>
      </c>
      <c r="AY48" s="208">
        <v>2930.02</v>
      </c>
      <c r="AZ48" s="207">
        <v>1092</v>
      </c>
      <c r="BA48" s="208">
        <v>1092</v>
      </c>
      <c r="BB48" s="208">
        <v>1307</v>
      </c>
      <c r="BC48" s="208">
        <v>1698</v>
      </c>
      <c r="BD48" s="209">
        <v>1579</v>
      </c>
      <c r="BE48" s="208">
        <v>961</v>
      </c>
      <c r="BF48" s="208">
        <v>746.4</v>
      </c>
      <c r="BG48" s="208">
        <v>1039</v>
      </c>
      <c r="BH48" s="208">
        <v>1011</v>
      </c>
      <c r="BI48" s="208">
        <v>1103</v>
      </c>
      <c r="BJ48" s="207">
        <v>690</v>
      </c>
      <c r="BK48" s="208">
        <v>650</v>
      </c>
      <c r="BL48" s="208">
        <v>554</v>
      </c>
      <c r="BM48" s="208">
        <v>738</v>
      </c>
      <c r="BN48" s="209">
        <v>1510</v>
      </c>
      <c r="BO48" s="208">
        <v>1510</v>
      </c>
      <c r="BP48" s="208">
        <v>1197</v>
      </c>
      <c r="BQ48" s="208">
        <v>1539</v>
      </c>
      <c r="BR48" s="208">
        <v>1838</v>
      </c>
      <c r="BS48" s="209">
        <v>1658</v>
      </c>
      <c r="BT48" s="208" t="s">
        <v>386</v>
      </c>
      <c r="BU48" s="208" t="s">
        <v>386</v>
      </c>
      <c r="BV48" s="208" t="s">
        <v>386</v>
      </c>
      <c r="BW48" s="208" t="s">
        <v>386</v>
      </c>
      <c r="BX48" s="209" t="s">
        <v>386</v>
      </c>
      <c r="BY48" s="208">
        <v>1074</v>
      </c>
      <c r="BZ48" s="208">
        <v>1256</v>
      </c>
      <c r="CA48" s="208">
        <v>1870</v>
      </c>
      <c r="CB48" s="208">
        <v>2387</v>
      </c>
      <c r="CC48" s="208">
        <v>2220</v>
      </c>
      <c r="CD48" s="207">
        <v>1341.69</v>
      </c>
      <c r="CE48" s="208">
        <v>1145</v>
      </c>
      <c r="CF48" s="208">
        <v>879.2</v>
      </c>
      <c r="CG48" s="208">
        <v>2385</v>
      </c>
      <c r="CH48" s="209">
        <v>3090</v>
      </c>
    </row>
    <row r="49" spans="1:86" x14ac:dyDescent="0.25">
      <c r="A49" s="91" t="s">
        <v>78</v>
      </c>
      <c r="B49" s="207">
        <v>61.010000000000005</v>
      </c>
      <c r="C49" s="208">
        <v>51.65</v>
      </c>
      <c r="D49" s="208">
        <v>65.92</v>
      </c>
      <c r="E49" s="208">
        <v>69.97999999999999</v>
      </c>
      <c r="F49" s="208">
        <v>70.19</v>
      </c>
      <c r="G49" s="207">
        <v>37.660000000000004</v>
      </c>
      <c r="H49" s="208">
        <v>32.53</v>
      </c>
      <c r="I49" s="208">
        <v>40.5</v>
      </c>
      <c r="J49" s="208">
        <v>40.459999999999994</v>
      </c>
      <c r="K49" s="209">
        <v>39.58</v>
      </c>
      <c r="L49" s="208">
        <v>172.32999999999998</v>
      </c>
      <c r="M49" s="208">
        <v>141.22</v>
      </c>
      <c r="N49" s="208">
        <v>169.32</v>
      </c>
      <c r="O49" s="208">
        <v>173.34</v>
      </c>
      <c r="P49" s="208">
        <v>182.64</v>
      </c>
      <c r="Q49" s="207">
        <v>83.02</v>
      </c>
      <c r="R49" s="208">
        <v>72.080000000000013</v>
      </c>
      <c r="S49" s="208">
        <v>86.289999999999992</v>
      </c>
      <c r="T49" s="208">
        <v>92.970000000000013</v>
      </c>
      <c r="U49" s="209">
        <v>83.37</v>
      </c>
      <c r="V49" s="208">
        <v>70</v>
      </c>
      <c r="W49" s="208">
        <v>64.8</v>
      </c>
      <c r="X49" s="208">
        <v>105</v>
      </c>
      <c r="Y49" s="208">
        <v>81</v>
      </c>
      <c r="Z49" s="208">
        <v>107</v>
      </c>
      <c r="AA49" s="207">
        <v>29</v>
      </c>
      <c r="AB49" s="208">
        <v>15</v>
      </c>
      <c r="AC49" s="208">
        <v>28</v>
      </c>
      <c r="AD49" s="208">
        <v>14.4</v>
      </c>
      <c r="AE49" s="208">
        <v>28</v>
      </c>
      <c r="AF49" s="229" t="s">
        <v>386</v>
      </c>
      <c r="AG49" s="220" t="s">
        <v>386</v>
      </c>
      <c r="AH49" s="220" t="s">
        <v>386</v>
      </c>
      <c r="AI49" s="220" t="s">
        <v>386</v>
      </c>
      <c r="AJ49" s="224" t="s">
        <v>386</v>
      </c>
      <c r="AK49" s="208">
        <v>1482</v>
      </c>
      <c r="AL49" s="208">
        <v>1362.4</v>
      </c>
      <c r="AM49" s="208">
        <v>2058</v>
      </c>
      <c r="AN49" s="208">
        <v>2158</v>
      </c>
      <c r="AO49" s="208">
        <v>2145</v>
      </c>
      <c r="AP49" s="207">
        <v>1682.6100000000001</v>
      </c>
      <c r="AQ49" s="208">
        <v>2228.73</v>
      </c>
      <c r="AR49" s="208">
        <v>2034.8999999999999</v>
      </c>
      <c r="AS49" s="208">
        <v>2587.6999999999998</v>
      </c>
      <c r="AT49" s="209">
        <v>1829.22</v>
      </c>
      <c r="AU49" s="208">
        <v>2010</v>
      </c>
      <c r="AV49" s="208">
        <v>1403.2</v>
      </c>
      <c r="AW49" s="208">
        <v>1899</v>
      </c>
      <c r="AX49" s="208">
        <v>3424</v>
      </c>
      <c r="AY49" s="208">
        <v>1959</v>
      </c>
      <c r="AZ49" s="207" t="s">
        <v>386</v>
      </c>
      <c r="BA49" s="208" t="s">
        <v>386</v>
      </c>
      <c r="BB49" s="208" t="s">
        <v>386</v>
      </c>
      <c r="BC49" s="208" t="s">
        <v>386</v>
      </c>
      <c r="BD49" s="209" t="s">
        <v>386</v>
      </c>
      <c r="BE49" s="208" t="s">
        <v>386</v>
      </c>
      <c r="BF49" s="208" t="s">
        <v>386</v>
      </c>
      <c r="BG49" s="208" t="s">
        <v>386</v>
      </c>
      <c r="BH49" s="208" t="s">
        <v>386</v>
      </c>
      <c r="BI49" s="208" t="s">
        <v>386</v>
      </c>
      <c r="BJ49" s="207" t="s">
        <v>386</v>
      </c>
      <c r="BK49" s="208" t="s">
        <v>386</v>
      </c>
      <c r="BL49" s="208" t="s">
        <v>386</v>
      </c>
      <c r="BM49" s="208" t="s">
        <v>386</v>
      </c>
      <c r="BN49" s="209" t="s">
        <v>386</v>
      </c>
      <c r="BO49" s="208"/>
      <c r="BP49" s="208"/>
      <c r="BQ49" s="208"/>
      <c r="BR49" s="208"/>
      <c r="BS49" s="209"/>
      <c r="BT49" s="208" t="s">
        <v>386</v>
      </c>
      <c r="BU49" s="208" t="s">
        <v>386</v>
      </c>
      <c r="BV49" s="208" t="s">
        <v>386</v>
      </c>
      <c r="BW49" s="208" t="s">
        <v>386</v>
      </c>
      <c r="BX49" s="209" t="s">
        <v>386</v>
      </c>
      <c r="BY49" s="208" t="s">
        <v>386</v>
      </c>
      <c r="BZ49" s="208" t="s">
        <v>386</v>
      </c>
      <c r="CA49" s="208" t="s">
        <v>386</v>
      </c>
      <c r="CB49" s="208" t="s">
        <v>386</v>
      </c>
      <c r="CC49" s="208" t="s">
        <v>386</v>
      </c>
      <c r="CD49" s="207" t="s">
        <v>386</v>
      </c>
      <c r="CE49" s="208" t="s">
        <v>386</v>
      </c>
      <c r="CF49" s="208" t="s">
        <v>386</v>
      </c>
      <c r="CG49" s="208" t="s">
        <v>386</v>
      </c>
      <c r="CH49" s="209" t="s">
        <v>386</v>
      </c>
    </row>
    <row r="50" spans="1:86" x14ac:dyDescent="0.25">
      <c r="A50" s="91" t="s">
        <v>79</v>
      </c>
      <c r="B50" s="207">
        <v>46.39</v>
      </c>
      <c r="C50" s="208">
        <v>45.120000000000005</v>
      </c>
      <c r="D50" s="208">
        <v>58.55</v>
      </c>
      <c r="E50" s="208">
        <v>56.88</v>
      </c>
      <c r="F50" s="208">
        <v>52.77</v>
      </c>
      <c r="G50" s="207">
        <v>38.54</v>
      </c>
      <c r="H50" s="208">
        <v>30.45</v>
      </c>
      <c r="I50" s="208">
        <v>39.29</v>
      </c>
      <c r="J50" s="208">
        <v>42.17</v>
      </c>
      <c r="K50" s="209">
        <v>39.779999999999994</v>
      </c>
      <c r="L50" s="208">
        <v>165.7</v>
      </c>
      <c r="M50" s="208">
        <v>124.5</v>
      </c>
      <c r="N50" s="208">
        <v>164.17</v>
      </c>
      <c r="O50" s="208">
        <v>173.8</v>
      </c>
      <c r="P50" s="208">
        <v>173.29000000000002</v>
      </c>
      <c r="Q50" s="207">
        <v>69.72</v>
      </c>
      <c r="R50" s="208">
        <v>57.69</v>
      </c>
      <c r="S50" s="208">
        <v>77.209999999999994</v>
      </c>
      <c r="T50" s="208">
        <v>70.430000000000007</v>
      </c>
      <c r="U50" s="209">
        <v>67.11</v>
      </c>
      <c r="V50" s="208">
        <v>60.88</v>
      </c>
      <c r="W50" s="208">
        <v>59.2</v>
      </c>
      <c r="X50" s="208">
        <v>80.77</v>
      </c>
      <c r="Y50" s="208">
        <v>72.53</v>
      </c>
      <c r="Z50" s="208">
        <v>78.89</v>
      </c>
      <c r="AA50" s="207">
        <v>17.05</v>
      </c>
      <c r="AB50" s="208">
        <v>12</v>
      </c>
      <c r="AC50" s="208">
        <v>31.05</v>
      </c>
      <c r="AD50" s="208">
        <v>11</v>
      </c>
      <c r="AE50" s="208">
        <v>13</v>
      </c>
      <c r="AF50" s="229">
        <v>66</v>
      </c>
      <c r="AG50" s="220">
        <v>42</v>
      </c>
      <c r="AH50" s="220">
        <v>74</v>
      </c>
      <c r="AI50" s="220">
        <v>84</v>
      </c>
      <c r="AJ50" s="224">
        <v>85</v>
      </c>
      <c r="AK50" s="208">
        <v>1818.28</v>
      </c>
      <c r="AL50" s="208">
        <v>1344.55</v>
      </c>
      <c r="AM50" s="208">
        <v>1367</v>
      </c>
      <c r="AN50" s="208">
        <v>1961.25</v>
      </c>
      <c r="AO50" s="208">
        <v>1940.45</v>
      </c>
      <c r="AP50" s="207">
        <v>2049.1</v>
      </c>
      <c r="AQ50" s="208">
        <v>1692.44</v>
      </c>
      <c r="AR50" s="208">
        <v>2121.87</v>
      </c>
      <c r="AS50" s="208">
        <v>2480.86</v>
      </c>
      <c r="AT50" s="209">
        <v>1383.6</v>
      </c>
      <c r="AU50" s="208">
        <v>1518.4</v>
      </c>
      <c r="AV50" s="208">
        <v>1541.6</v>
      </c>
      <c r="AW50" s="208">
        <v>1898.94</v>
      </c>
      <c r="AX50" s="208">
        <v>2686</v>
      </c>
      <c r="AY50" s="208">
        <v>1661</v>
      </c>
      <c r="AZ50" s="207">
        <v>1083.2</v>
      </c>
      <c r="BA50" s="208">
        <v>1083.2</v>
      </c>
      <c r="BB50" s="208">
        <v>1083.2</v>
      </c>
      <c r="BC50" s="208">
        <v>1447</v>
      </c>
      <c r="BD50" s="209">
        <v>976.8</v>
      </c>
      <c r="BE50" s="208" t="s">
        <v>386</v>
      </c>
      <c r="BF50" s="208" t="s">
        <v>386</v>
      </c>
      <c r="BG50" s="208" t="s">
        <v>386</v>
      </c>
      <c r="BH50" s="208" t="s">
        <v>386</v>
      </c>
      <c r="BI50" s="208" t="s">
        <v>386</v>
      </c>
      <c r="BJ50" s="207" t="s">
        <v>386</v>
      </c>
      <c r="BK50" s="208" t="s">
        <v>386</v>
      </c>
      <c r="BL50" s="208" t="s">
        <v>386</v>
      </c>
      <c r="BM50" s="208" t="s">
        <v>386</v>
      </c>
      <c r="BN50" s="209" t="s">
        <v>386</v>
      </c>
      <c r="BO50" s="208">
        <v>1398</v>
      </c>
      <c r="BP50" s="208">
        <v>1200</v>
      </c>
      <c r="BQ50" s="208">
        <v>1200</v>
      </c>
      <c r="BR50" s="208">
        <v>1568</v>
      </c>
      <c r="BS50" s="209">
        <v>1568</v>
      </c>
      <c r="BT50" s="208" t="s">
        <v>386</v>
      </c>
      <c r="BU50" s="208" t="s">
        <v>386</v>
      </c>
      <c r="BV50" s="208" t="s">
        <v>386</v>
      </c>
      <c r="BW50" s="208" t="s">
        <v>386</v>
      </c>
      <c r="BX50" s="209" t="s">
        <v>386</v>
      </c>
      <c r="BY50" s="208">
        <v>1262.4000000000001</v>
      </c>
      <c r="BZ50" s="208">
        <v>1262.4000000000001</v>
      </c>
      <c r="CA50" s="208">
        <v>1457</v>
      </c>
      <c r="CB50" s="208">
        <v>2035</v>
      </c>
      <c r="CC50" s="208">
        <v>1262.4000000000001</v>
      </c>
      <c r="CD50" s="207" t="s">
        <v>386</v>
      </c>
      <c r="CE50" s="208" t="s">
        <v>386</v>
      </c>
      <c r="CF50" s="208" t="s">
        <v>386</v>
      </c>
      <c r="CG50" s="208" t="s">
        <v>386</v>
      </c>
      <c r="CH50" s="209" t="s">
        <v>386</v>
      </c>
    </row>
    <row r="51" spans="1:86" x14ac:dyDescent="0.25">
      <c r="A51" s="91" t="s">
        <v>80</v>
      </c>
      <c r="B51" s="207">
        <v>61.18</v>
      </c>
      <c r="C51" s="208">
        <v>48.1</v>
      </c>
      <c r="D51" s="208">
        <v>63.07</v>
      </c>
      <c r="E51" s="208">
        <v>55</v>
      </c>
      <c r="F51" s="208">
        <v>69.510000000000005</v>
      </c>
      <c r="G51" s="207">
        <v>34.18</v>
      </c>
      <c r="H51" s="208">
        <v>33.11</v>
      </c>
      <c r="I51" s="208">
        <v>41.730000000000004</v>
      </c>
      <c r="J51" s="208">
        <v>27.599999999999998</v>
      </c>
      <c r="K51" s="209">
        <v>43.68</v>
      </c>
      <c r="L51" s="208">
        <v>144.18</v>
      </c>
      <c r="M51" s="208">
        <v>130.38999999999999</v>
      </c>
      <c r="N51" s="208">
        <v>150.19</v>
      </c>
      <c r="O51" s="208">
        <v>104.13</v>
      </c>
      <c r="P51" s="208">
        <v>131.35</v>
      </c>
      <c r="Q51" s="207">
        <v>71.149999999999991</v>
      </c>
      <c r="R51" s="208">
        <v>57.699999999999996</v>
      </c>
      <c r="S51" s="208">
        <v>73.66</v>
      </c>
      <c r="T51" s="208">
        <v>62.32</v>
      </c>
      <c r="U51" s="209">
        <v>59.910000000000004</v>
      </c>
      <c r="V51" s="208">
        <v>114.76</v>
      </c>
      <c r="W51" s="208">
        <v>88.72</v>
      </c>
      <c r="X51" s="208">
        <v>94</v>
      </c>
      <c r="Y51" s="208">
        <v>71.650000000000006</v>
      </c>
      <c r="Z51" s="208">
        <v>92.73</v>
      </c>
      <c r="AA51" s="207">
        <v>27.92</v>
      </c>
      <c r="AB51" s="208">
        <v>19.2</v>
      </c>
      <c r="AC51" s="208">
        <v>32.51</v>
      </c>
      <c r="AD51" s="208">
        <v>19.2</v>
      </c>
      <c r="AE51" s="208">
        <v>27.48</v>
      </c>
      <c r="AF51" s="229">
        <v>59</v>
      </c>
      <c r="AG51" s="220">
        <v>48</v>
      </c>
      <c r="AH51" s="220">
        <v>68</v>
      </c>
      <c r="AI51" s="220">
        <v>50</v>
      </c>
      <c r="AJ51" s="224">
        <v>65</v>
      </c>
      <c r="AK51" s="208">
        <v>2132.52</v>
      </c>
      <c r="AL51" s="208">
        <v>1858.82</v>
      </c>
      <c r="AM51" s="208">
        <v>2188.37</v>
      </c>
      <c r="AN51" s="208">
        <v>1907.3899999999999</v>
      </c>
      <c r="AO51" s="208">
        <v>1946.1200000000001</v>
      </c>
      <c r="AP51" s="207">
        <v>2473.4</v>
      </c>
      <c r="AQ51" s="208">
        <v>1701.1499999999999</v>
      </c>
      <c r="AR51" s="208">
        <v>2495.6800000000003</v>
      </c>
      <c r="AS51" s="208">
        <v>1910.8700000000001</v>
      </c>
      <c r="AT51" s="209">
        <v>1973.1000000000001</v>
      </c>
      <c r="AU51" s="208">
        <v>3177.67</v>
      </c>
      <c r="AV51" s="208">
        <v>1701.6</v>
      </c>
      <c r="AW51" s="208">
        <v>2834.1</v>
      </c>
      <c r="AX51" s="208">
        <v>1761.6</v>
      </c>
      <c r="AY51" s="208">
        <v>2500.48</v>
      </c>
      <c r="AZ51" s="207" t="s">
        <v>386</v>
      </c>
      <c r="BA51" s="208" t="s">
        <v>386</v>
      </c>
      <c r="BB51" s="208" t="s">
        <v>386</v>
      </c>
      <c r="BC51" s="208" t="s">
        <v>386</v>
      </c>
      <c r="BD51" s="209" t="s">
        <v>386</v>
      </c>
      <c r="BE51" s="208" t="s">
        <v>386</v>
      </c>
      <c r="BF51" s="208" t="s">
        <v>386</v>
      </c>
      <c r="BG51" s="208" t="s">
        <v>386</v>
      </c>
      <c r="BH51" s="208" t="s">
        <v>386</v>
      </c>
      <c r="BI51" s="208" t="s">
        <v>386</v>
      </c>
      <c r="BJ51" s="207">
        <v>775.2</v>
      </c>
      <c r="BK51" s="208">
        <v>775.2</v>
      </c>
      <c r="BL51" s="208">
        <v>775.2</v>
      </c>
      <c r="BM51" s="208">
        <v>775.2</v>
      </c>
      <c r="BN51" s="209">
        <v>775.2</v>
      </c>
      <c r="BO51" s="208">
        <v>1614</v>
      </c>
      <c r="BP51" s="208">
        <v>1412</v>
      </c>
      <c r="BQ51" s="208">
        <v>1709</v>
      </c>
      <c r="BR51" s="208">
        <v>1501</v>
      </c>
      <c r="BS51" s="209">
        <v>1558</v>
      </c>
      <c r="BT51" s="208" t="s">
        <v>386</v>
      </c>
      <c r="BU51" s="208" t="s">
        <v>386</v>
      </c>
      <c r="BV51" s="208" t="s">
        <v>386</v>
      </c>
      <c r="BW51" s="208" t="s">
        <v>386</v>
      </c>
      <c r="BX51" s="209" t="s">
        <v>386</v>
      </c>
      <c r="BY51" s="208" t="s">
        <v>386</v>
      </c>
      <c r="BZ51" s="208" t="s">
        <v>386</v>
      </c>
      <c r="CA51" s="208" t="s">
        <v>386</v>
      </c>
      <c r="CB51" s="208" t="s">
        <v>386</v>
      </c>
      <c r="CC51" s="208" t="s">
        <v>386</v>
      </c>
      <c r="CD51" s="207" t="s">
        <v>386</v>
      </c>
      <c r="CE51" s="208" t="s">
        <v>386</v>
      </c>
      <c r="CF51" s="208" t="s">
        <v>386</v>
      </c>
      <c r="CG51" s="208" t="s">
        <v>386</v>
      </c>
      <c r="CH51" s="209" t="s">
        <v>386</v>
      </c>
    </row>
    <row r="52" spans="1:86" x14ac:dyDescent="0.25">
      <c r="A52" s="91" t="s">
        <v>81</v>
      </c>
      <c r="B52" s="207">
        <v>61.24</v>
      </c>
      <c r="C52" s="208">
        <v>62.03</v>
      </c>
      <c r="D52" s="208">
        <v>75.75</v>
      </c>
      <c r="E52" s="208">
        <v>80.459999999999994</v>
      </c>
      <c r="F52" s="208">
        <v>79.930000000000007</v>
      </c>
      <c r="G52" s="207">
        <v>36.78</v>
      </c>
      <c r="H52" s="208">
        <v>34.75</v>
      </c>
      <c r="I52" s="208">
        <v>45.5</v>
      </c>
      <c r="J52" s="208">
        <v>41.53</v>
      </c>
      <c r="K52" s="209">
        <v>43.580000000000005</v>
      </c>
      <c r="L52" s="208">
        <v>167.96</v>
      </c>
      <c r="M52" s="208">
        <v>147.46</v>
      </c>
      <c r="N52" s="208">
        <v>180.19</v>
      </c>
      <c r="O52" s="208">
        <v>172.31</v>
      </c>
      <c r="P52" s="208">
        <v>183.33</v>
      </c>
      <c r="Q52" s="207">
        <v>68.7</v>
      </c>
      <c r="R52" s="208">
        <v>90.09</v>
      </c>
      <c r="S52" s="208">
        <v>95.47999999999999</v>
      </c>
      <c r="T52" s="208">
        <v>94.94</v>
      </c>
      <c r="U52" s="209">
        <v>96.5</v>
      </c>
      <c r="V52" s="208">
        <v>81.400000000000006</v>
      </c>
      <c r="W52" s="208">
        <v>61.6</v>
      </c>
      <c r="X52" s="208">
        <v>115.44</v>
      </c>
      <c r="Y52" s="208">
        <v>94</v>
      </c>
      <c r="Z52" s="208">
        <v>121.29</v>
      </c>
      <c r="AA52" s="207">
        <v>29</v>
      </c>
      <c r="AB52" s="208">
        <v>16</v>
      </c>
      <c r="AC52" s="208">
        <v>28</v>
      </c>
      <c r="AD52" s="208">
        <v>14</v>
      </c>
      <c r="AE52" s="208">
        <v>28</v>
      </c>
      <c r="AF52" s="362" t="s">
        <v>386</v>
      </c>
      <c r="AG52" s="363" t="s">
        <v>386</v>
      </c>
      <c r="AH52" s="363" t="s">
        <v>386</v>
      </c>
      <c r="AI52" s="363" t="s">
        <v>386</v>
      </c>
      <c r="AJ52" s="364" t="s">
        <v>386</v>
      </c>
      <c r="AK52" s="208">
        <v>1336</v>
      </c>
      <c r="AL52" s="208">
        <v>1336</v>
      </c>
      <c r="AM52" s="208">
        <v>2057</v>
      </c>
      <c r="AN52" s="208">
        <v>2286</v>
      </c>
      <c r="AO52" s="208">
        <v>2755.78</v>
      </c>
      <c r="AP52" s="207">
        <v>2075.75</v>
      </c>
      <c r="AQ52" s="208">
        <v>2364.98</v>
      </c>
      <c r="AR52" s="208">
        <v>2871.3399999999997</v>
      </c>
      <c r="AS52" s="208">
        <v>2638.88</v>
      </c>
      <c r="AT52" s="209">
        <v>1936.73</v>
      </c>
      <c r="AU52" s="208">
        <v>2297</v>
      </c>
      <c r="AV52" s="208">
        <v>1760</v>
      </c>
      <c r="AW52" s="208">
        <v>2592</v>
      </c>
      <c r="AX52" s="208">
        <v>3424</v>
      </c>
      <c r="AY52" s="208">
        <v>2353</v>
      </c>
      <c r="AZ52" s="207" t="s">
        <v>386</v>
      </c>
      <c r="BA52" s="208" t="s">
        <v>386</v>
      </c>
      <c r="BB52" s="208" t="s">
        <v>386</v>
      </c>
      <c r="BC52" s="208" t="s">
        <v>386</v>
      </c>
      <c r="BD52" s="209" t="s">
        <v>386</v>
      </c>
      <c r="BE52" s="208" t="s">
        <v>386</v>
      </c>
      <c r="BF52" s="208" t="s">
        <v>386</v>
      </c>
      <c r="BG52" s="208" t="s">
        <v>386</v>
      </c>
      <c r="BH52" s="208" t="s">
        <v>386</v>
      </c>
      <c r="BI52" s="208" t="s">
        <v>386</v>
      </c>
      <c r="BJ52" s="207" t="s">
        <v>386</v>
      </c>
      <c r="BK52" s="208" t="s">
        <v>386</v>
      </c>
      <c r="BL52" s="208" t="s">
        <v>386</v>
      </c>
      <c r="BM52" s="208" t="s">
        <v>386</v>
      </c>
      <c r="BN52" s="209" t="s">
        <v>386</v>
      </c>
      <c r="BO52" s="208" t="s">
        <v>386</v>
      </c>
      <c r="BP52" s="208" t="s">
        <v>386</v>
      </c>
      <c r="BQ52" s="208" t="s">
        <v>386</v>
      </c>
      <c r="BR52" s="208" t="s">
        <v>386</v>
      </c>
      <c r="BS52" s="209" t="s">
        <v>386</v>
      </c>
      <c r="BT52" s="208" t="s">
        <v>386</v>
      </c>
      <c r="BU52" s="208" t="s">
        <v>386</v>
      </c>
      <c r="BV52" s="208" t="s">
        <v>386</v>
      </c>
      <c r="BW52" s="208" t="s">
        <v>386</v>
      </c>
      <c r="BX52" s="209" t="s">
        <v>386</v>
      </c>
      <c r="BY52" s="208" t="s">
        <v>386</v>
      </c>
      <c r="BZ52" s="208" t="s">
        <v>386</v>
      </c>
      <c r="CA52" s="208" t="s">
        <v>386</v>
      </c>
      <c r="CB52" s="208" t="s">
        <v>386</v>
      </c>
      <c r="CC52" s="208" t="s">
        <v>386</v>
      </c>
      <c r="CD52" s="207" t="s">
        <v>386</v>
      </c>
      <c r="CE52" s="208" t="s">
        <v>386</v>
      </c>
      <c r="CF52" s="208" t="s">
        <v>386</v>
      </c>
      <c r="CG52" s="208" t="s">
        <v>386</v>
      </c>
      <c r="CH52" s="209" t="s">
        <v>386</v>
      </c>
    </row>
    <row r="53" spans="1:86" x14ac:dyDescent="0.25">
      <c r="A53" s="91" t="s">
        <v>82</v>
      </c>
      <c r="B53" s="207">
        <v>65.44</v>
      </c>
      <c r="C53" s="208">
        <v>49.7</v>
      </c>
      <c r="D53" s="208">
        <v>69.959999999999994</v>
      </c>
      <c r="E53" s="208">
        <v>64.67</v>
      </c>
      <c r="F53" s="208">
        <v>77.83</v>
      </c>
      <c r="G53" s="207">
        <v>40.68</v>
      </c>
      <c r="H53" s="208">
        <v>28.96</v>
      </c>
      <c r="I53" s="208">
        <v>44.4</v>
      </c>
      <c r="J53" s="208">
        <v>35.96</v>
      </c>
      <c r="K53" s="209">
        <v>43.98</v>
      </c>
      <c r="L53" s="208">
        <v>163.25</v>
      </c>
      <c r="M53" s="208">
        <v>120.97</v>
      </c>
      <c r="N53" s="208">
        <v>177.64999999999998</v>
      </c>
      <c r="O53" s="208">
        <v>141.42000000000002</v>
      </c>
      <c r="P53" s="208">
        <v>171.25</v>
      </c>
      <c r="Q53" s="207">
        <v>77.5</v>
      </c>
      <c r="R53" s="208">
        <v>61.699999999999996</v>
      </c>
      <c r="S53" s="208">
        <v>81.99</v>
      </c>
      <c r="T53" s="208">
        <v>82.41</v>
      </c>
      <c r="U53" s="209">
        <v>58.699999999999996</v>
      </c>
      <c r="V53" s="208">
        <v>111.87</v>
      </c>
      <c r="W53" s="208">
        <v>75.2</v>
      </c>
      <c r="X53" s="208">
        <v>94.5</v>
      </c>
      <c r="Y53" s="208">
        <v>124.84</v>
      </c>
      <c r="Z53" s="208">
        <v>154.54</v>
      </c>
      <c r="AA53" s="207">
        <v>30.62</v>
      </c>
      <c r="AB53" s="208">
        <v>17.600000000000001</v>
      </c>
      <c r="AC53" s="208">
        <v>31</v>
      </c>
      <c r="AD53" s="208">
        <v>17.600000000000001</v>
      </c>
      <c r="AE53" s="208">
        <v>28.93</v>
      </c>
      <c r="AF53" s="229">
        <v>65</v>
      </c>
      <c r="AG53" s="220">
        <v>42</v>
      </c>
      <c r="AH53" s="220">
        <v>80</v>
      </c>
      <c r="AI53" s="220">
        <v>68</v>
      </c>
      <c r="AJ53" s="224">
        <v>84</v>
      </c>
      <c r="AK53" s="208">
        <v>2109.2400000000002</v>
      </c>
      <c r="AL53" s="208">
        <v>1899.97</v>
      </c>
      <c r="AM53" s="208">
        <v>2399.3900000000003</v>
      </c>
      <c r="AN53" s="208">
        <v>2157.91</v>
      </c>
      <c r="AO53" s="208">
        <v>1894.23</v>
      </c>
      <c r="AP53" s="207">
        <v>2203.67</v>
      </c>
      <c r="AQ53" s="208">
        <v>2229.6000000000004</v>
      </c>
      <c r="AR53" s="208">
        <v>2428.02</v>
      </c>
      <c r="AS53" s="208">
        <v>2256.6000000000004</v>
      </c>
      <c r="AT53" s="209">
        <v>1790.03</v>
      </c>
      <c r="AU53" s="208">
        <v>2326.91</v>
      </c>
      <c r="AV53" s="208">
        <v>1606.4</v>
      </c>
      <c r="AW53" s="208">
        <v>3284</v>
      </c>
      <c r="AX53" s="208">
        <v>3039</v>
      </c>
      <c r="AY53" s="208">
        <v>2365</v>
      </c>
      <c r="AZ53" s="207">
        <v>1615</v>
      </c>
      <c r="BA53" s="208">
        <v>968</v>
      </c>
      <c r="BB53" s="208">
        <v>1760</v>
      </c>
      <c r="BC53" s="208">
        <v>1638</v>
      </c>
      <c r="BD53" s="209">
        <v>1274</v>
      </c>
      <c r="BE53" s="208" t="s">
        <v>386</v>
      </c>
      <c r="BF53" s="208" t="s">
        <v>386</v>
      </c>
      <c r="BG53" s="208" t="s">
        <v>386</v>
      </c>
      <c r="BH53" s="208" t="s">
        <v>386</v>
      </c>
      <c r="BI53" s="208" t="s">
        <v>386</v>
      </c>
      <c r="BJ53" s="207" t="s">
        <v>386</v>
      </c>
      <c r="BK53" s="208" t="s">
        <v>386</v>
      </c>
      <c r="BL53" s="208" t="s">
        <v>386</v>
      </c>
      <c r="BM53" s="208" t="s">
        <v>386</v>
      </c>
      <c r="BN53" s="209" t="s">
        <v>386</v>
      </c>
      <c r="BO53" s="208" t="s">
        <v>386</v>
      </c>
      <c r="BP53" s="208" t="s">
        <v>386</v>
      </c>
      <c r="BQ53" s="208" t="s">
        <v>386</v>
      </c>
      <c r="BR53" s="208" t="s">
        <v>386</v>
      </c>
      <c r="BS53" s="209" t="s">
        <v>386</v>
      </c>
      <c r="BT53" s="208">
        <v>1877</v>
      </c>
      <c r="BU53" s="208">
        <v>1705</v>
      </c>
      <c r="BV53" s="208">
        <v>2230</v>
      </c>
      <c r="BW53" s="208">
        <v>2025</v>
      </c>
      <c r="BX53" s="209">
        <v>1799</v>
      </c>
      <c r="BY53" s="208" t="s">
        <v>386</v>
      </c>
      <c r="BZ53" s="208" t="s">
        <v>386</v>
      </c>
      <c r="CA53" s="208" t="s">
        <v>386</v>
      </c>
      <c r="CB53" s="208" t="s">
        <v>386</v>
      </c>
      <c r="CC53" s="208" t="s">
        <v>386</v>
      </c>
      <c r="CD53" s="207" t="s">
        <v>386</v>
      </c>
      <c r="CE53" s="208" t="s">
        <v>386</v>
      </c>
      <c r="CF53" s="208" t="s">
        <v>386</v>
      </c>
      <c r="CG53" s="208" t="s">
        <v>386</v>
      </c>
      <c r="CH53" s="209" t="s">
        <v>386</v>
      </c>
    </row>
    <row r="54" spans="1:86" x14ac:dyDescent="0.25">
      <c r="A54" s="91" t="s">
        <v>83</v>
      </c>
      <c r="B54" s="207">
        <v>59.19</v>
      </c>
      <c r="C54" s="208">
        <v>40.699999999999996</v>
      </c>
      <c r="D54" s="208">
        <v>58.690000000000005</v>
      </c>
      <c r="E54" s="208">
        <v>50.35</v>
      </c>
      <c r="F54" s="208">
        <v>64.23</v>
      </c>
      <c r="G54" s="207">
        <v>31.410000000000004</v>
      </c>
      <c r="H54" s="208">
        <v>28.4</v>
      </c>
      <c r="I54" s="208">
        <v>32.78</v>
      </c>
      <c r="J54" s="208">
        <v>37.64</v>
      </c>
      <c r="K54" s="209">
        <v>37.19</v>
      </c>
      <c r="L54" s="208">
        <v>133.47999999999999</v>
      </c>
      <c r="M54" s="208">
        <v>89.45</v>
      </c>
      <c r="N54" s="208">
        <v>127.12</v>
      </c>
      <c r="O54" s="208">
        <v>133.27000000000001</v>
      </c>
      <c r="P54" s="208">
        <v>125.63</v>
      </c>
      <c r="Q54" s="207">
        <v>82.87</v>
      </c>
      <c r="R54" s="208">
        <v>56.4</v>
      </c>
      <c r="S54" s="208">
        <v>78.709999999999994</v>
      </c>
      <c r="T54" s="208">
        <v>72.37</v>
      </c>
      <c r="U54" s="209">
        <v>84.04</v>
      </c>
      <c r="V54" s="208">
        <v>109.42</v>
      </c>
      <c r="W54" s="208">
        <v>58.4</v>
      </c>
      <c r="X54" s="208">
        <v>80.48</v>
      </c>
      <c r="Y54" s="208">
        <v>78.180000000000007</v>
      </c>
      <c r="Z54" s="208">
        <v>101.39</v>
      </c>
      <c r="AA54" s="207">
        <v>26.49</v>
      </c>
      <c r="AB54" s="208">
        <v>16</v>
      </c>
      <c r="AC54" s="208">
        <v>24.66</v>
      </c>
      <c r="AD54" s="208">
        <v>18.13</v>
      </c>
      <c r="AE54" s="208">
        <v>24.81</v>
      </c>
      <c r="AF54" s="229" t="s">
        <v>386</v>
      </c>
      <c r="AG54" s="220" t="s">
        <v>386</v>
      </c>
      <c r="AH54" s="220" t="s">
        <v>386</v>
      </c>
      <c r="AI54" s="220" t="s">
        <v>386</v>
      </c>
      <c r="AJ54" s="224" t="s">
        <v>386</v>
      </c>
      <c r="AK54" s="208">
        <v>2231.48</v>
      </c>
      <c r="AL54" s="208">
        <v>1456.9</v>
      </c>
      <c r="AM54" s="208">
        <v>2049.69</v>
      </c>
      <c r="AN54" s="208">
        <v>2074.1999999999998</v>
      </c>
      <c r="AO54" s="208">
        <v>2111.77</v>
      </c>
      <c r="AP54" s="207">
        <v>2212.5</v>
      </c>
      <c r="AQ54" s="208">
        <v>1516.4499999999998</v>
      </c>
      <c r="AR54" s="208">
        <v>2255.27</v>
      </c>
      <c r="AS54" s="208">
        <v>2151.6499999999996</v>
      </c>
      <c r="AT54" s="209">
        <v>2130.29</v>
      </c>
      <c r="AU54" s="208">
        <v>2244.7800000000002</v>
      </c>
      <c r="AV54" s="208">
        <v>1876</v>
      </c>
      <c r="AW54" s="208">
        <v>2399.29</v>
      </c>
      <c r="AX54" s="208">
        <v>2426.89</v>
      </c>
      <c r="AY54" s="208">
        <v>2565.4699999999998</v>
      </c>
      <c r="AZ54" s="207">
        <v>1558</v>
      </c>
      <c r="BA54" s="208">
        <v>972</v>
      </c>
      <c r="BB54" s="208">
        <v>1286</v>
      </c>
      <c r="BC54" s="208">
        <v>1308</v>
      </c>
      <c r="BD54" s="209">
        <v>1382</v>
      </c>
      <c r="BE54" s="208">
        <v>949</v>
      </c>
      <c r="BF54" s="208">
        <v>607</v>
      </c>
      <c r="BG54" s="208">
        <v>1003</v>
      </c>
      <c r="BH54" s="208">
        <v>998</v>
      </c>
      <c r="BI54" s="208">
        <v>1015</v>
      </c>
      <c r="BJ54" s="207">
        <v>793</v>
      </c>
      <c r="BK54" s="208">
        <v>735.2</v>
      </c>
      <c r="BL54" s="208">
        <v>699.2</v>
      </c>
      <c r="BM54" s="208">
        <v>699.2</v>
      </c>
      <c r="BN54" s="209">
        <v>699.2</v>
      </c>
      <c r="BO54" s="208">
        <v>1737</v>
      </c>
      <c r="BP54" s="208">
        <v>1055</v>
      </c>
      <c r="BQ54" s="208">
        <v>1622</v>
      </c>
      <c r="BR54" s="208">
        <v>1660</v>
      </c>
      <c r="BS54" s="209">
        <v>1708</v>
      </c>
      <c r="BT54" s="208" t="s">
        <v>386</v>
      </c>
      <c r="BU54" s="208" t="s">
        <v>386</v>
      </c>
      <c r="BV54" s="208" t="s">
        <v>386</v>
      </c>
      <c r="BW54" s="208" t="s">
        <v>386</v>
      </c>
      <c r="BX54" s="209" t="s">
        <v>386</v>
      </c>
      <c r="BY54" s="208">
        <v>1622</v>
      </c>
      <c r="BZ54" s="208">
        <v>1417</v>
      </c>
      <c r="CA54" s="208">
        <v>1841</v>
      </c>
      <c r="CB54" s="208">
        <v>1839</v>
      </c>
      <c r="CC54" s="208">
        <v>1944</v>
      </c>
      <c r="CD54" s="207">
        <v>1719</v>
      </c>
      <c r="CE54" s="208">
        <v>1729</v>
      </c>
      <c r="CF54" s="208">
        <v>1204</v>
      </c>
      <c r="CG54" s="208">
        <v>2348</v>
      </c>
      <c r="CH54" s="209">
        <v>2380</v>
      </c>
    </row>
    <row r="55" spans="1:86" x14ac:dyDescent="0.25">
      <c r="A55" s="91" t="s">
        <v>84</v>
      </c>
      <c r="B55" s="207">
        <v>60.41</v>
      </c>
      <c r="C55" s="208">
        <v>47.099999999999994</v>
      </c>
      <c r="D55" s="208">
        <v>61.370000000000005</v>
      </c>
      <c r="E55" s="208">
        <v>63.330000000000005</v>
      </c>
      <c r="F55" s="208">
        <v>66.41</v>
      </c>
      <c r="G55" s="207">
        <v>33.33</v>
      </c>
      <c r="H55" s="208">
        <v>28.599999999999998</v>
      </c>
      <c r="I55" s="208">
        <v>39.53</v>
      </c>
      <c r="J55" s="208">
        <v>42.95</v>
      </c>
      <c r="K55" s="209">
        <v>43.400000000000006</v>
      </c>
      <c r="L55" s="208">
        <v>138.80000000000001</v>
      </c>
      <c r="M55" s="208">
        <v>117.85000000000001</v>
      </c>
      <c r="N55" s="208">
        <v>168.57</v>
      </c>
      <c r="O55" s="208">
        <v>174.51</v>
      </c>
      <c r="P55" s="208">
        <v>174.36</v>
      </c>
      <c r="Q55" s="207">
        <v>76.91</v>
      </c>
      <c r="R55" s="208">
        <v>61.300000000000004</v>
      </c>
      <c r="S55" s="208">
        <v>76.069999999999993</v>
      </c>
      <c r="T55" s="208">
        <v>76.209999999999994</v>
      </c>
      <c r="U55" s="209">
        <v>64.349999999999994</v>
      </c>
      <c r="V55" s="208">
        <v>95.09</v>
      </c>
      <c r="W55" s="208">
        <v>61.6</v>
      </c>
      <c r="X55" s="208">
        <v>106.71</v>
      </c>
      <c r="Y55" s="208">
        <v>136.82</v>
      </c>
      <c r="Z55" s="208">
        <v>126.89</v>
      </c>
      <c r="AA55" s="207">
        <v>12.21</v>
      </c>
      <c r="AB55" s="208">
        <v>12</v>
      </c>
      <c r="AC55" s="208">
        <v>17</v>
      </c>
      <c r="AD55" s="208">
        <v>14</v>
      </c>
      <c r="AE55" s="208">
        <v>11.2</v>
      </c>
      <c r="AF55" s="229">
        <v>54</v>
      </c>
      <c r="AG55" s="220">
        <v>34</v>
      </c>
      <c r="AH55" s="220">
        <v>75</v>
      </c>
      <c r="AI55" s="220">
        <v>84</v>
      </c>
      <c r="AJ55" s="224">
        <v>86</v>
      </c>
      <c r="AK55" s="208">
        <v>2195.92</v>
      </c>
      <c r="AL55" s="208">
        <v>1392.9</v>
      </c>
      <c r="AM55" s="208">
        <v>1792.51</v>
      </c>
      <c r="AN55" s="208">
        <v>2260.75</v>
      </c>
      <c r="AO55" s="208">
        <v>2272.38</v>
      </c>
      <c r="AP55" s="207">
        <v>2308.17</v>
      </c>
      <c r="AQ55" s="208">
        <v>1809.93</v>
      </c>
      <c r="AR55" s="208">
        <v>2552.7000000000003</v>
      </c>
      <c r="AS55" s="208">
        <v>2183.79</v>
      </c>
      <c r="AT55" s="209">
        <v>1450.2</v>
      </c>
      <c r="AU55" s="208">
        <v>1764</v>
      </c>
      <c r="AV55" s="208">
        <v>1751.2</v>
      </c>
      <c r="AW55" s="208">
        <v>1644</v>
      </c>
      <c r="AX55" s="208">
        <v>1881.6</v>
      </c>
      <c r="AY55" s="208">
        <v>2560.9899999999998</v>
      </c>
      <c r="AZ55" s="207" t="s">
        <v>386</v>
      </c>
      <c r="BA55" s="208" t="s">
        <v>386</v>
      </c>
      <c r="BB55" s="208" t="s">
        <v>386</v>
      </c>
      <c r="BC55" s="208" t="s">
        <v>386</v>
      </c>
      <c r="BD55" s="209" t="s">
        <v>386</v>
      </c>
      <c r="BE55" s="208" t="s">
        <v>386</v>
      </c>
      <c r="BF55" s="208" t="s">
        <v>386</v>
      </c>
      <c r="BG55" s="208" t="s">
        <v>386</v>
      </c>
      <c r="BH55" s="208" t="s">
        <v>386</v>
      </c>
      <c r="BI55" s="208" t="s">
        <v>386</v>
      </c>
      <c r="BJ55" s="207" t="s">
        <v>386</v>
      </c>
      <c r="BK55" s="208" t="s">
        <v>386</v>
      </c>
      <c r="BL55" s="208" t="s">
        <v>386</v>
      </c>
      <c r="BM55" s="208" t="s">
        <v>386</v>
      </c>
      <c r="BN55" s="209" t="s">
        <v>386</v>
      </c>
      <c r="BO55" s="208" t="s">
        <v>386</v>
      </c>
      <c r="BP55" s="208" t="s">
        <v>386</v>
      </c>
      <c r="BQ55" s="208" t="s">
        <v>386</v>
      </c>
      <c r="BR55" s="208" t="s">
        <v>386</v>
      </c>
      <c r="BS55" s="209" t="s">
        <v>386</v>
      </c>
      <c r="BT55" s="208" t="s">
        <v>386</v>
      </c>
      <c r="BU55" s="208" t="s">
        <v>386</v>
      </c>
      <c r="BV55" s="208" t="s">
        <v>386</v>
      </c>
      <c r="BW55" s="208" t="s">
        <v>386</v>
      </c>
      <c r="BX55" s="209" t="s">
        <v>386</v>
      </c>
      <c r="BY55" s="208" t="s">
        <v>386</v>
      </c>
      <c r="BZ55" s="208" t="s">
        <v>386</v>
      </c>
      <c r="CA55" s="208" t="s">
        <v>386</v>
      </c>
      <c r="CB55" s="208" t="s">
        <v>386</v>
      </c>
      <c r="CC55" s="208" t="s">
        <v>386</v>
      </c>
      <c r="CD55" s="207" t="s">
        <v>386</v>
      </c>
      <c r="CE55" s="208" t="s">
        <v>386</v>
      </c>
      <c r="CF55" s="208" t="s">
        <v>386</v>
      </c>
      <c r="CG55" s="208" t="s">
        <v>386</v>
      </c>
      <c r="CH55" s="209" t="s">
        <v>386</v>
      </c>
    </row>
    <row r="56" spans="1:86" ht="15.75" thickBot="1" x14ac:dyDescent="0.3">
      <c r="A56" s="106" t="s">
        <v>85</v>
      </c>
      <c r="B56" s="210">
        <v>42.98</v>
      </c>
      <c r="C56" s="211">
        <v>28.599999999999998</v>
      </c>
      <c r="D56" s="211">
        <v>42.82</v>
      </c>
      <c r="E56" s="211">
        <v>34.760000000000005</v>
      </c>
      <c r="F56" s="211">
        <v>45.67</v>
      </c>
      <c r="G56" s="210">
        <v>18.399999999999999</v>
      </c>
      <c r="H56" s="211">
        <v>17.600000000000001</v>
      </c>
      <c r="I56" s="211">
        <v>17.600000000000001</v>
      </c>
      <c r="J56" s="211">
        <v>20.96</v>
      </c>
      <c r="K56" s="212">
        <v>19.399999999999999</v>
      </c>
      <c r="L56" s="211">
        <v>85.5</v>
      </c>
      <c r="M56" s="211">
        <v>64.45</v>
      </c>
      <c r="N56" s="211">
        <v>63.400000000000006</v>
      </c>
      <c r="O56" s="211">
        <v>55.15</v>
      </c>
      <c r="P56" s="211">
        <v>54.1</v>
      </c>
      <c r="Q56" s="210">
        <v>51.97</v>
      </c>
      <c r="R56" s="211">
        <v>44.199999999999996</v>
      </c>
      <c r="S56" s="211">
        <v>66.53</v>
      </c>
      <c r="T56" s="211">
        <v>55.06</v>
      </c>
      <c r="U56" s="212">
        <v>77.36</v>
      </c>
      <c r="V56" s="211">
        <v>52.88</v>
      </c>
      <c r="W56" s="211">
        <v>42.4</v>
      </c>
      <c r="X56" s="211">
        <v>44</v>
      </c>
      <c r="Y56" s="211">
        <v>42.73</v>
      </c>
      <c r="Z56" s="211">
        <v>72</v>
      </c>
      <c r="AA56" s="210">
        <v>21.1</v>
      </c>
      <c r="AB56" s="211">
        <v>15.2</v>
      </c>
      <c r="AC56" s="211">
        <v>17.86</v>
      </c>
      <c r="AD56" s="211">
        <v>16.02</v>
      </c>
      <c r="AE56" s="211">
        <v>16.79</v>
      </c>
      <c r="AF56" s="365">
        <v>35</v>
      </c>
      <c r="AG56" s="366">
        <v>23.2</v>
      </c>
      <c r="AH56" s="366">
        <v>37</v>
      </c>
      <c r="AI56" s="366">
        <v>46</v>
      </c>
      <c r="AJ56" s="367">
        <v>46</v>
      </c>
      <c r="AK56" s="211">
        <v>1828.4099999999999</v>
      </c>
      <c r="AL56" s="211">
        <v>1258.3500000000001</v>
      </c>
      <c r="AM56" s="211">
        <v>1539.73</v>
      </c>
      <c r="AN56" s="211">
        <v>1666.56</v>
      </c>
      <c r="AO56" s="211">
        <v>1763.02</v>
      </c>
      <c r="AP56" s="210">
        <v>1470.54</v>
      </c>
      <c r="AQ56" s="211">
        <v>1397.86</v>
      </c>
      <c r="AR56" s="211">
        <v>1968.69</v>
      </c>
      <c r="AS56" s="211">
        <v>1736.3300000000002</v>
      </c>
      <c r="AT56" s="212">
        <v>1307.3700000000001</v>
      </c>
      <c r="AU56" s="211">
        <v>2125.27</v>
      </c>
      <c r="AV56" s="211">
        <v>1485.6</v>
      </c>
      <c r="AW56" s="211">
        <v>1959.06</v>
      </c>
      <c r="AX56" s="211">
        <v>1796.29</v>
      </c>
      <c r="AY56" s="211">
        <v>2345.3200000000002</v>
      </c>
      <c r="AZ56" s="210">
        <v>1576.84</v>
      </c>
      <c r="BA56" s="211">
        <v>1021.6</v>
      </c>
      <c r="BB56" s="211">
        <v>1165.23</v>
      </c>
      <c r="BC56" s="211">
        <v>1215.27</v>
      </c>
      <c r="BD56" s="212">
        <v>1425.4</v>
      </c>
      <c r="BE56" s="211">
        <v>1303.47</v>
      </c>
      <c r="BF56" s="211">
        <v>826.45</v>
      </c>
      <c r="BG56" s="211">
        <v>1230.9000000000001</v>
      </c>
      <c r="BH56" s="211">
        <v>1055.69</v>
      </c>
      <c r="BI56" s="211">
        <v>1104.45</v>
      </c>
      <c r="BJ56" s="210">
        <v>597.51</v>
      </c>
      <c r="BK56" s="211">
        <v>501.6</v>
      </c>
      <c r="BL56" s="211">
        <v>581.78</v>
      </c>
      <c r="BM56" s="211">
        <v>735.92</v>
      </c>
      <c r="BN56" s="212">
        <v>625</v>
      </c>
      <c r="BO56" s="211" t="s">
        <v>386</v>
      </c>
      <c r="BP56" s="211" t="s">
        <v>386</v>
      </c>
      <c r="BQ56" s="211" t="s">
        <v>386</v>
      </c>
      <c r="BR56" s="211" t="s">
        <v>386</v>
      </c>
      <c r="BS56" s="212" t="s">
        <v>386</v>
      </c>
      <c r="BT56" s="211" t="s">
        <v>386</v>
      </c>
      <c r="BU56" s="211" t="s">
        <v>386</v>
      </c>
      <c r="BV56" s="211" t="s">
        <v>386</v>
      </c>
      <c r="BW56" s="211" t="s">
        <v>386</v>
      </c>
      <c r="BX56" s="212" t="s">
        <v>386</v>
      </c>
      <c r="BY56" s="211">
        <v>1920.29</v>
      </c>
      <c r="BZ56" s="211">
        <v>1107.07</v>
      </c>
      <c r="CA56" s="211">
        <v>1718.09</v>
      </c>
      <c r="CB56" s="211">
        <v>1754.76</v>
      </c>
      <c r="CC56" s="211">
        <v>2303.0100000000002</v>
      </c>
      <c r="CD56" s="210">
        <v>1082.4000000000001</v>
      </c>
      <c r="CE56" s="211">
        <v>1696.92</v>
      </c>
      <c r="CF56" s="211">
        <v>1082.4000000000001</v>
      </c>
      <c r="CG56" s="211">
        <v>2113.14</v>
      </c>
      <c r="CH56" s="212">
        <v>1762</v>
      </c>
    </row>
    <row r="57" spans="1:86" x14ac:dyDescent="0.25">
      <c r="A57" s="107" t="s">
        <v>86</v>
      </c>
      <c r="B57" s="213">
        <v>46.2</v>
      </c>
      <c r="C57" s="214">
        <v>47.1</v>
      </c>
      <c r="D57" s="214">
        <v>55.2</v>
      </c>
      <c r="E57" s="214">
        <v>68.56</v>
      </c>
      <c r="F57" s="214">
        <v>69.959999999999994</v>
      </c>
      <c r="G57" s="213">
        <v>18.48</v>
      </c>
      <c r="H57" s="214">
        <v>22.139999999999997</v>
      </c>
      <c r="I57" s="214">
        <v>26.8</v>
      </c>
      <c r="J57" s="214">
        <v>27.32</v>
      </c>
      <c r="K57" s="217">
        <v>28.32</v>
      </c>
      <c r="L57" s="214">
        <v>82.29</v>
      </c>
      <c r="M57" s="214">
        <v>73.12</v>
      </c>
      <c r="N57" s="214">
        <v>156.24</v>
      </c>
      <c r="O57" s="214">
        <v>72.459999999999994</v>
      </c>
      <c r="P57" s="214">
        <v>102.58</v>
      </c>
      <c r="Q57" s="213">
        <v>49.4</v>
      </c>
      <c r="R57" s="214">
        <v>61</v>
      </c>
      <c r="S57" s="214">
        <v>66.099999999999994</v>
      </c>
      <c r="T57" s="214">
        <v>86.51</v>
      </c>
      <c r="U57" s="217">
        <v>85.65</v>
      </c>
      <c r="V57" s="214">
        <v>36.799999999999997</v>
      </c>
      <c r="W57" s="214">
        <v>34.4</v>
      </c>
      <c r="X57" s="214">
        <v>55.56</v>
      </c>
      <c r="Y57" s="214">
        <v>67.14</v>
      </c>
      <c r="Z57" s="214">
        <v>62.81</v>
      </c>
      <c r="AA57" s="207">
        <v>16.3</v>
      </c>
      <c r="AB57" s="208">
        <v>18.899999999999999</v>
      </c>
      <c r="AC57" s="208">
        <v>31.94</v>
      </c>
      <c r="AD57" s="208">
        <v>20.38</v>
      </c>
      <c r="AE57" s="208">
        <v>25.02</v>
      </c>
      <c r="AF57" s="362" t="s">
        <v>386</v>
      </c>
      <c r="AG57" s="363" t="s">
        <v>386</v>
      </c>
      <c r="AH57" s="363" t="s">
        <v>386</v>
      </c>
      <c r="AI57" s="363" t="s">
        <v>386</v>
      </c>
      <c r="AJ57" s="364" t="s">
        <v>386</v>
      </c>
      <c r="AK57" s="214">
        <v>1411</v>
      </c>
      <c r="AL57" s="214">
        <v>1362</v>
      </c>
      <c r="AM57" s="214">
        <v>2140</v>
      </c>
      <c r="AN57" s="214">
        <v>2614.17</v>
      </c>
      <c r="AO57" s="214">
        <v>1573.15</v>
      </c>
      <c r="AP57" s="213">
        <v>1697</v>
      </c>
      <c r="AQ57" s="214">
        <v>2185.46</v>
      </c>
      <c r="AR57" s="214">
        <v>2593.81</v>
      </c>
      <c r="AS57" s="214">
        <v>2553.84</v>
      </c>
      <c r="AT57" s="217">
        <v>1845.18</v>
      </c>
      <c r="AU57" s="214">
        <v>2398</v>
      </c>
      <c r="AV57" s="214">
        <v>1520</v>
      </c>
      <c r="AW57" s="214">
        <v>2058.5</v>
      </c>
      <c r="AX57" s="214">
        <v>2300</v>
      </c>
      <c r="AY57" s="214">
        <v>2431</v>
      </c>
      <c r="AZ57" s="207" t="s">
        <v>386</v>
      </c>
      <c r="BA57" s="208" t="s">
        <v>386</v>
      </c>
      <c r="BB57" s="208" t="s">
        <v>386</v>
      </c>
      <c r="BC57" s="208" t="s">
        <v>386</v>
      </c>
      <c r="BD57" s="209" t="s">
        <v>386</v>
      </c>
      <c r="BE57" s="208" t="s">
        <v>386</v>
      </c>
      <c r="BF57" s="208" t="s">
        <v>386</v>
      </c>
      <c r="BG57" s="208" t="s">
        <v>386</v>
      </c>
      <c r="BH57" s="208" t="s">
        <v>386</v>
      </c>
      <c r="BI57" s="208" t="s">
        <v>386</v>
      </c>
      <c r="BJ57" s="207" t="s">
        <v>386</v>
      </c>
      <c r="BK57" s="208" t="s">
        <v>386</v>
      </c>
      <c r="BL57" s="208" t="s">
        <v>386</v>
      </c>
      <c r="BM57" s="208" t="s">
        <v>386</v>
      </c>
      <c r="BN57" s="209" t="s">
        <v>386</v>
      </c>
      <c r="BO57" s="208" t="s">
        <v>386</v>
      </c>
      <c r="BP57" s="208" t="s">
        <v>386</v>
      </c>
      <c r="BQ57" s="208" t="s">
        <v>386</v>
      </c>
      <c r="BR57" s="208" t="s">
        <v>386</v>
      </c>
      <c r="BS57" s="209" t="s">
        <v>386</v>
      </c>
      <c r="BT57" s="215" t="s">
        <v>386</v>
      </c>
      <c r="BU57" s="215" t="s">
        <v>386</v>
      </c>
      <c r="BV57" s="215" t="s">
        <v>386</v>
      </c>
      <c r="BW57" s="215" t="s">
        <v>386</v>
      </c>
      <c r="BX57" s="406" t="s">
        <v>386</v>
      </c>
      <c r="BY57" s="215" t="s">
        <v>386</v>
      </c>
      <c r="BZ57" s="215" t="s">
        <v>386</v>
      </c>
      <c r="CA57" s="215" t="s">
        <v>386</v>
      </c>
      <c r="CB57" s="215" t="s">
        <v>386</v>
      </c>
      <c r="CC57" s="215" t="s">
        <v>386</v>
      </c>
      <c r="CD57" s="207" t="s">
        <v>386</v>
      </c>
      <c r="CE57" s="208" t="s">
        <v>386</v>
      </c>
      <c r="CF57" s="208" t="s">
        <v>386</v>
      </c>
      <c r="CG57" s="208" t="s">
        <v>386</v>
      </c>
      <c r="CH57" s="209" t="s">
        <v>386</v>
      </c>
    </row>
    <row r="58" spans="1:86" x14ac:dyDescent="0.25">
      <c r="A58" s="107" t="s">
        <v>87</v>
      </c>
      <c r="B58" s="213">
        <v>34.9</v>
      </c>
      <c r="C58" s="214">
        <v>47.1</v>
      </c>
      <c r="D58" s="214">
        <v>41.3</v>
      </c>
      <c r="E58" s="214">
        <v>86.51</v>
      </c>
      <c r="F58" s="214">
        <v>69.959999999999994</v>
      </c>
      <c r="G58" s="213">
        <v>48.76</v>
      </c>
      <c r="H58" s="214">
        <v>31.31</v>
      </c>
      <c r="I58" s="214">
        <v>41.04</v>
      </c>
      <c r="J58" s="214">
        <v>31.069999999999997</v>
      </c>
      <c r="K58" s="217">
        <v>34.099999999999994</v>
      </c>
      <c r="L58" s="214">
        <v>164.39999999999998</v>
      </c>
      <c r="M58" s="214">
        <v>142.75</v>
      </c>
      <c r="N58" s="214">
        <v>107</v>
      </c>
      <c r="O58" s="214">
        <v>157.26</v>
      </c>
      <c r="P58" s="214">
        <v>165</v>
      </c>
      <c r="Q58" s="213">
        <v>51.36</v>
      </c>
      <c r="R58" s="214">
        <v>61</v>
      </c>
      <c r="S58" s="214">
        <v>65.900000000000006</v>
      </c>
      <c r="T58" s="214">
        <v>86.51</v>
      </c>
      <c r="U58" s="217">
        <v>85.65</v>
      </c>
      <c r="V58" s="214">
        <v>63.4</v>
      </c>
      <c r="W58" s="214">
        <v>50.5</v>
      </c>
      <c r="X58" s="214">
        <v>52.4</v>
      </c>
      <c r="Y58" s="214">
        <v>40</v>
      </c>
      <c r="Z58" s="214">
        <v>62.81</v>
      </c>
      <c r="AA58" s="207" t="s">
        <v>386</v>
      </c>
      <c r="AB58" s="208" t="s">
        <v>386</v>
      </c>
      <c r="AC58" s="208" t="s">
        <v>386</v>
      </c>
      <c r="AD58" s="208" t="s">
        <v>386</v>
      </c>
      <c r="AE58" s="208" t="s">
        <v>386</v>
      </c>
      <c r="AF58" s="362" t="s">
        <v>386</v>
      </c>
      <c r="AG58" s="363" t="s">
        <v>386</v>
      </c>
      <c r="AH58" s="363" t="s">
        <v>386</v>
      </c>
      <c r="AI58" s="363" t="s">
        <v>386</v>
      </c>
      <c r="AJ58" s="364" t="s">
        <v>386</v>
      </c>
      <c r="AK58" s="208" t="s">
        <v>386</v>
      </c>
      <c r="AL58" s="208" t="s">
        <v>386</v>
      </c>
      <c r="AM58" s="208" t="s">
        <v>386</v>
      </c>
      <c r="AN58" s="208" t="s">
        <v>386</v>
      </c>
      <c r="AO58" s="208" t="s">
        <v>386</v>
      </c>
      <c r="AP58" s="213">
        <v>1697</v>
      </c>
      <c r="AQ58" s="214">
        <v>2185.46</v>
      </c>
      <c r="AR58" s="214">
        <v>2593.81</v>
      </c>
      <c r="AS58" s="214">
        <v>2553.84</v>
      </c>
      <c r="AT58" s="217">
        <v>1845.18</v>
      </c>
      <c r="AU58" s="208" t="s">
        <v>386</v>
      </c>
      <c r="AV58" s="208" t="s">
        <v>386</v>
      </c>
      <c r="AW58" s="208" t="s">
        <v>386</v>
      </c>
      <c r="AX58" s="208" t="s">
        <v>386</v>
      </c>
      <c r="AY58" s="208" t="s">
        <v>386</v>
      </c>
      <c r="AZ58" s="207" t="s">
        <v>386</v>
      </c>
      <c r="BA58" s="208" t="s">
        <v>386</v>
      </c>
      <c r="BB58" s="208" t="s">
        <v>386</v>
      </c>
      <c r="BC58" s="208" t="s">
        <v>386</v>
      </c>
      <c r="BD58" s="209" t="s">
        <v>386</v>
      </c>
      <c r="BE58" s="208" t="s">
        <v>386</v>
      </c>
      <c r="BF58" s="208" t="s">
        <v>386</v>
      </c>
      <c r="BG58" s="208" t="s">
        <v>386</v>
      </c>
      <c r="BH58" s="208" t="s">
        <v>386</v>
      </c>
      <c r="BI58" s="208" t="s">
        <v>386</v>
      </c>
      <c r="BJ58" s="207" t="s">
        <v>386</v>
      </c>
      <c r="BK58" s="208" t="s">
        <v>386</v>
      </c>
      <c r="BL58" s="208" t="s">
        <v>386</v>
      </c>
      <c r="BM58" s="208" t="s">
        <v>386</v>
      </c>
      <c r="BN58" s="209" t="s">
        <v>386</v>
      </c>
      <c r="BO58" s="208" t="s">
        <v>386</v>
      </c>
      <c r="BP58" s="208" t="s">
        <v>386</v>
      </c>
      <c r="BQ58" s="208" t="s">
        <v>386</v>
      </c>
      <c r="BR58" s="208" t="s">
        <v>386</v>
      </c>
      <c r="BS58" s="209" t="s">
        <v>386</v>
      </c>
      <c r="BT58" s="215" t="s">
        <v>386</v>
      </c>
      <c r="BU58" s="215" t="s">
        <v>386</v>
      </c>
      <c r="BV58" s="215" t="s">
        <v>386</v>
      </c>
      <c r="BW58" s="215" t="s">
        <v>386</v>
      </c>
      <c r="BX58" s="406" t="s">
        <v>386</v>
      </c>
      <c r="BY58" s="215" t="s">
        <v>386</v>
      </c>
      <c r="BZ58" s="215" t="s">
        <v>386</v>
      </c>
      <c r="CA58" s="215" t="s">
        <v>386</v>
      </c>
      <c r="CB58" s="215" t="s">
        <v>386</v>
      </c>
      <c r="CC58" s="215" t="s">
        <v>386</v>
      </c>
      <c r="CD58" s="207" t="s">
        <v>386</v>
      </c>
      <c r="CE58" s="208" t="s">
        <v>386</v>
      </c>
      <c r="CF58" s="208" t="s">
        <v>386</v>
      </c>
      <c r="CG58" s="208" t="s">
        <v>386</v>
      </c>
      <c r="CH58" s="209" t="s">
        <v>386</v>
      </c>
    </row>
    <row r="59" spans="1:86" x14ac:dyDescent="0.25">
      <c r="A59" s="107" t="s">
        <v>88</v>
      </c>
      <c r="B59" s="213">
        <v>64.97</v>
      </c>
      <c r="C59" s="214">
        <v>62.35</v>
      </c>
      <c r="D59" s="214">
        <v>61.88</v>
      </c>
      <c r="E59" s="214">
        <v>49.41</v>
      </c>
      <c r="F59" s="214">
        <v>54.94</v>
      </c>
      <c r="G59" s="213">
        <v>43.400000000000006</v>
      </c>
      <c r="H59" s="214">
        <v>39.43</v>
      </c>
      <c r="I59" s="214">
        <v>46.6</v>
      </c>
      <c r="J59" s="214">
        <v>41.480000000000004</v>
      </c>
      <c r="K59" s="217">
        <v>39.14</v>
      </c>
      <c r="L59" s="214">
        <v>172.23000000000002</v>
      </c>
      <c r="M59" s="214">
        <v>168.51</v>
      </c>
      <c r="N59" s="214">
        <v>187.73999999999998</v>
      </c>
      <c r="O59" s="214">
        <v>175.92999999999998</v>
      </c>
      <c r="P59" s="214">
        <v>174.14000000000001</v>
      </c>
      <c r="Q59" s="213">
        <v>58.5</v>
      </c>
      <c r="R59" s="214">
        <v>61</v>
      </c>
      <c r="S59" s="214">
        <v>71.599999999999994</v>
      </c>
      <c r="T59" s="214">
        <v>86.51</v>
      </c>
      <c r="U59" s="217">
        <v>91.42</v>
      </c>
      <c r="V59" s="214">
        <v>63.45</v>
      </c>
      <c r="W59" s="214">
        <v>36.799999999999997</v>
      </c>
      <c r="X59" s="214">
        <v>44.54</v>
      </c>
      <c r="Y59" s="214">
        <v>37.6</v>
      </c>
      <c r="Z59" s="214">
        <v>48.76</v>
      </c>
      <c r="AA59" s="207" t="s">
        <v>386</v>
      </c>
      <c r="AB59" s="208" t="s">
        <v>386</v>
      </c>
      <c r="AC59" s="208" t="s">
        <v>386</v>
      </c>
      <c r="AD59" s="208" t="s">
        <v>386</v>
      </c>
      <c r="AE59" s="208" t="s">
        <v>386</v>
      </c>
      <c r="AF59" s="362" t="s">
        <v>386</v>
      </c>
      <c r="AG59" s="363" t="s">
        <v>386</v>
      </c>
      <c r="AH59" s="363" t="s">
        <v>386</v>
      </c>
      <c r="AI59" s="363" t="s">
        <v>386</v>
      </c>
      <c r="AJ59" s="364" t="s">
        <v>386</v>
      </c>
      <c r="AK59" s="208" t="s">
        <v>386</v>
      </c>
      <c r="AL59" s="208" t="s">
        <v>386</v>
      </c>
      <c r="AM59" s="208" t="s">
        <v>386</v>
      </c>
      <c r="AN59" s="208" t="s">
        <v>386</v>
      </c>
      <c r="AO59" s="208" t="s">
        <v>386</v>
      </c>
      <c r="AP59" s="213">
        <v>2185.31</v>
      </c>
      <c r="AQ59" s="214">
        <v>2185.46</v>
      </c>
      <c r="AR59" s="214">
        <v>2593.81</v>
      </c>
      <c r="AS59" s="214">
        <v>2602.2399999999998</v>
      </c>
      <c r="AT59" s="217">
        <v>2242.65</v>
      </c>
      <c r="AU59" s="214">
        <v>2398</v>
      </c>
      <c r="AV59" s="214">
        <v>1520</v>
      </c>
      <c r="AW59" s="214">
        <v>2058.5</v>
      </c>
      <c r="AX59" s="214">
        <v>2300</v>
      </c>
      <c r="AY59" s="214">
        <v>2431</v>
      </c>
      <c r="AZ59" s="207" t="s">
        <v>386</v>
      </c>
      <c r="BA59" s="208" t="s">
        <v>386</v>
      </c>
      <c r="BB59" s="208" t="s">
        <v>386</v>
      </c>
      <c r="BC59" s="208" t="s">
        <v>386</v>
      </c>
      <c r="BD59" s="209" t="s">
        <v>386</v>
      </c>
      <c r="BE59" s="208" t="s">
        <v>386</v>
      </c>
      <c r="BF59" s="208" t="s">
        <v>386</v>
      </c>
      <c r="BG59" s="208" t="s">
        <v>386</v>
      </c>
      <c r="BH59" s="208" t="s">
        <v>386</v>
      </c>
      <c r="BI59" s="208" t="s">
        <v>386</v>
      </c>
      <c r="BJ59" s="207" t="s">
        <v>386</v>
      </c>
      <c r="BK59" s="208" t="s">
        <v>386</v>
      </c>
      <c r="BL59" s="208" t="s">
        <v>386</v>
      </c>
      <c r="BM59" s="208" t="s">
        <v>386</v>
      </c>
      <c r="BN59" s="209" t="s">
        <v>386</v>
      </c>
      <c r="BO59" s="208" t="s">
        <v>386</v>
      </c>
      <c r="BP59" s="208" t="s">
        <v>386</v>
      </c>
      <c r="BQ59" s="208" t="s">
        <v>386</v>
      </c>
      <c r="BR59" s="208" t="s">
        <v>386</v>
      </c>
      <c r="BS59" s="209" t="s">
        <v>386</v>
      </c>
      <c r="BT59" s="215" t="s">
        <v>386</v>
      </c>
      <c r="BU59" s="215" t="s">
        <v>386</v>
      </c>
      <c r="BV59" s="215" t="s">
        <v>386</v>
      </c>
      <c r="BW59" s="215" t="s">
        <v>386</v>
      </c>
      <c r="BX59" s="406" t="s">
        <v>386</v>
      </c>
      <c r="BY59" s="215" t="s">
        <v>386</v>
      </c>
      <c r="BZ59" s="215" t="s">
        <v>386</v>
      </c>
      <c r="CA59" s="215" t="s">
        <v>386</v>
      </c>
      <c r="CB59" s="215" t="s">
        <v>386</v>
      </c>
      <c r="CC59" s="215" t="s">
        <v>386</v>
      </c>
      <c r="CD59" s="207" t="s">
        <v>386</v>
      </c>
      <c r="CE59" s="208" t="s">
        <v>386</v>
      </c>
      <c r="CF59" s="208" t="s">
        <v>386</v>
      </c>
      <c r="CG59" s="208" t="s">
        <v>386</v>
      </c>
      <c r="CH59" s="209" t="s">
        <v>386</v>
      </c>
    </row>
    <row r="60" spans="1:86" x14ac:dyDescent="0.25">
      <c r="A60" s="107" t="s">
        <v>89</v>
      </c>
      <c r="B60" s="213">
        <v>50.53</v>
      </c>
      <c r="C60" s="214">
        <v>43.9</v>
      </c>
      <c r="D60" s="214">
        <v>62.540000000000006</v>
      </c>
      <c r="E60" s="214">
        <v>65.86</v>
      </c>
      <c r="F60" s="214">
        <v>55.89</v>
      </c>
      <c r="G60" s="213">
        <v>35.519999999999996</v>
      </c>
      <c r="H60" s="214">
        <v>24.4</v>
      </c>
      <c r="I60" s="214">
        <v>31.580000000000002</v>
      </c>
      <c r="J60" s="214">
        <v>33.909999999999997</v>
      </c>
      <c r="K60" s="217">
        <v>25.67</v>
      </c>
      <c r="L60" s="214">
        <v>154.51</v>
      </c>
      <c r="M60" s="214">
        <v>92.649999999999991</v>
      </c>
      <c r="N60" s="214">
        <v>152.12</v>
      </c>
      <c r="O60" s="214">
        <v>159.22</v>
      </c>
      <c r="P60" s="214">
        <v>123.26</v>
      </c>
      <c r="Q60" s="213">
        <v>40.520000000000003</v>
      </c>
      <c r="R60" s="214">
        <v>62.1</v>
      </c>
      <c r="S60" s="214">
        <v>75.97999999999999</v>
      </c>
      <c r="T60" s="214">
        <v>57.8</v>
      </c>
      <c r="U60" s="217">
        <v>86.09</v>
      </c>
      <c r="V60" s="214">
        <v>73.45</v>
      </c>
      <c r="W60" s="214">
        <v>49.6</v>
      </c>
      <c r="X60" s="214">
        <v>81.62</v>
      </c>
      <c r="Y60" s="214">
        <v>94.25</v>
      </c>
      <c r="Z60" s="214">
        <v>80.95</v>
      </c>
      <c r="AA60" s="213">
        <v>16.3</v>
      </c>
      <c r="AB60" s="214">
        <v>18.899999999999999</v>
      </c>
      <c r="AC60" s="214">
        <v>31.94</v>
      </c>
      <c r="AD60" s="214">
        <v>20.38</v>
      </c>
      <c r="AE60" s="214">
        <v>25.02</v>
      </c>
      <c r="AF60" s="362" t="s">
        <v>386</v>
      </c>
      <c r="AG60" s="363" t="s">
        <v>386</v>
      </c>
      <c r="AH60" s="363" t="s">
        <v>386</v>
      </c>
      <c r="AI60" s="363" t="s">
        <v>386</v>
      </c>
      <c r="AJ60" s="364" t="s">
        <v>386</v>
      </c>
      <c r="AK60" s="214">
        <v>1411</v>
      </c>
      <c r="AL60" s="214">
        <v>1362</v>
      </c>
      <c r="AM60" s="214">
        <v>1902.45</v>
      </c>
      <c r="AN60" s="214">
        <v>2614.17</v>
      </c>
      <c r="AO60" s="214">
        <v>1793.25</v>
      </c>
      <c r="AP60" s="213">
        <v>1723</v>
      </c>
      <c r="AQ60" s="214">
        <v>2185.46</v>
      </c>
      <c r="AR60" s="214">
        <v>2593.81</v>
      </c>
      <c r="AS60" s="214">
        <v>2553.84</v>
      </c>
      <c r="AT60" s="217">
        <v>1845.18</v>
      </c>
      <c r="AU60" s="214">
        <v>2398</v>
      </c>
      <c r="AV60" s="214">
        <v>1520</v>
      </c>
      <c r="AW60" s="214">
        <v>2058</v>
      </c>
      <c r="AX60" s="214">
        <v>2300</v>
      </c>
      <c r="AY60" s="214">
        <v>2431</v>
      </c>
      <c r="AZ60" s="207" t="s">
        <v>386</v>
      </c>
      <c r="BA60" s="208" t="s">
        <v>386</v>
      </c>
      <c r="BB60" s="208" t="s">
        <v>386</v>
      </c>
      <c r="BC60" s="208" t="s">
        <v>386</v>
      </c>
      <c r="BD60" s="209" t="s">
        <v>386</v>
      </c>
      <c r="BE60" s="208" t="s">
        <v>386</v>
      </c>
      <c r="BF60" s="208" t="s">
        <v>386</v>
      </c>
      <c r="BG60" s="208" t="s">
        <v>386</v>
      </c>
      <c r="BH60" s="208" t="s">
        <v>386</v>
      </c>
      <c r="BI60" s="208" t="s">
        <v>386</v>
      </c>
      <c r="BJ60" s="207" t="s">
        <v>386</v>
      </c>
      <c r="BK60" s="208" t="s">
        <v>386</v>
      </c>
      <c r="BL60" s="208" t="s">
        <v>386</v>
      </c>
      <c r="BM60" s="208" t="s">
        <v>386</v>
      </c>
      <c r="BN60" s="209" t="s">
        <v>386</v>
      </c>
      <c r="BO60" s="208" t="s">
        <v>386</v>
      </c>
      <c r="BP60" s="208" t="s">
        <v>386</v>
      </c>
      <c r="BQ60" s="208" t="s">
        <v>386</v>
      </c>
      <c r="BR60" s="208" t="s">
        <v>386</v>
      </c>
      <c r="BS60" s="209" t="s">
        <v>386</v>
      </c>
      <c r="BT60" s="215" t="s">
        <v>386</v>
      </c>
      <c r="BU60" s="215" t="s">
        <v>386</v>
      </c>
      <c r="BV60" s="215" t="s">
        <v>386</v>
      </c>
      <c r="BW60" s="215" t="s">
        <v>386</v>
      </c>
      <c r="BX60" s="406" t="s">
        <v>386</v>
      </c>
      <c r="BY60" s="215" t="s">
        <v>386</v>
      </c>
      <c r="BZ60" s="215" t="s">
        <v>386</v>
      </c>
      <c r="CA60" s="215" t="s">
        <v>386</v>
      </c>
      <c r="CB60" s="215" t="s">
        <v>386</v>
      </c>
      <c r="CC60" s="215" t="s">
        <v>386</v>
      </c>
      <c r="CD60" s="207" t="s">
        <v>386</v>
      </c>
      <c r="CE60" s="208" t="s">
        <v>386</v>
      </c>
      <c r="CF60" s="208" t="s">
        <v>386</v>
      </c>
      <c r="CG60" s="208" t="s">
        <v>386</v>
      </c>
      <c r="CH60" s="209" t="s">
        <v>386</v>
      </c>
    </row>
    <row r="61" spans="1:86" x14ac:dyDescent="0.25">
      <c r="A61" s="107" t="s">
        <v>90</v>
      </c>
      <c r="B61" s="213">
        <v>42.99</v>
      </c>
      <c r="C61" s="214">
        <v>40.08</v>
      </c>
      <c r="D61" s="214">
        <v>49.52</v>
      </c>
      <c r="E61" s="214">
        <v>46.87</v>
      </c>
      <c r="F61" s="214">
        <v>42.62</v>
      </c>
      <c r="G61" s="213">
        <v>53.05</v>
      </c>
      <c r="H61" s="214">
        <v>32.049999999999997</v>
      </c>
      <c r="I61" s="214">
        <v>46.95</v>
      </c>
      <c r="J61" s="214">
        <v>31.389999999999997</v>
      </c>
      <c r="K61" s="217">
        <v>46.959999999999994</v>
      </c>
      <c r="L61" s="214">
        <v>202.9</v>
      </c>
      <c r="M61" s="214">
        <v>119.2</v>
      </c>
      <c r="N61" s="214">
        <v>179.09</v>
      </c>
      <c r="O61" s="214">
        <v>114.39999999999999</v>
      </c>
      <c r="P61" s="214">
        <v>197.47</v>
      </c>
      <c r="Q61" s="213">
        <v>51.3</v>
      </c>
      <c r="R61" s="214">
        <v>61</v>
      </c>
      <c r="S61" s="214">
        <v>64.3</v>
      </c>
      <c r="T61" s="214">
        <v>86.51</v>
      </c>
      <c r="U61" s="217">
        <v>85.65</v>
      </c>
      <c r="V61" s="214">
        <v>58.06</v>
      </c>
      <c r="W61" s="214">
        <v>44.8</v>
      </c>
      <c r="X61" s="214">
        <v>48</v>
      </c>
      <c r="Y61" s="214">
        <v>44.8</v>
      </c>
      <c r="Z61" s="214">
        <v>63.21</v>
      </c>
      <c r="AA61" s="207" t="s">
        <v>386</v>
      </c>
      <c r="AB61" s="208" t="s">
        <v>386</v>
      </c>
      <c r="AC61" s="208" t="s">
        <v>386</v>
      </c>
      <c r="AD61" s="208" t="s">
        <v>386</v>
      </c>
      <c r="AE61" s="208" t="s">
        <v>386</v>
      </c>
      <c r="AF61" s="362" t="s">
        <v>386</v>
      </c>
      <c r="AG61" s="363" t="s">
        <v>386</v>
      </c>
      <c r="AH61" s="363" t="s">
        <v>386</v>
      </c>
      <c r="AI61" s="363" t="s">
        <v>386</v>
      </c>
      <c r="AJ61" s="364" t="s">
        <v>386</v>
      </c>
      <c r="AK61" s="208" t="s">
        <v>386</v>
      </c>
      <c r="AL61" s="208" t="s">
        <v>386</v>
      </c>
      <c r="AM61" s="208" t="s">
        <v>386</v>
      </c>
      <c r="AN61" s="208" t="s">
        <v>386</v>
      </c>
      <c r="AO61" s="208" t="s">
        <v>386</v>
      </c>
      <c r="AP61" s="213">
        <v>1791</v>
      </c>
      <c r="AQ61" s="214">
        <v>2185.46</v>
      </c>
      <c r="AR61" s="214">
        <v>2593.81</v>
      </c>
      <c r="AS61" s="214">
        <v>2553.84</v>
      </c>
      <c r="AT61" s="217">
        <v>1845.18</v>
      </c>
      <c r="AU61" s="208" t="s">
        <v>386</v>
      </c>
      <c r="AV61" s="208" t="s">
        <v>386</v>
      </c>
      <c r="AW61" s="208" t="s">
        <v>386</v>
      </c>
      <c r="AX61" s="208" t="s">
        <v>386</v>
      </c>
      <c r="AY61" s="208" t="s">
        <v>386</v>
      </c>
      <c r="AZ61" s="207" t="s">
        <v>386</v>
      </c>
      <c r="BA61" s="208" t="s">
        <v>386</v>
      </c>
      <c r="BB61" s="208" t="s">
        <v>386</v>
      </c>
      <c r="BC61" s="208" t="s">
        <v>386</v>
      </c>
      <c r="BD61" s="209" t="s">
        <v>386</v>
      </c>
      <c r="BE61" s="208" t="s">
        <v>386</v>
      </c>
      <c r="BF61" s="208" t="s">
        <v>386</v>
      </c>
      <c r="BG61" s="208" t="s">
        <v>386</v>
      </c>
      <c r="BH61" s="208" t="s">
        <v>386</v>
      </c>
      <c r="BI61" s="208" t="s">
        <v>386</v>
      </c>
      <c r="BJ61" s="207" t="s">
        <v>386</v>
      </c>
      <c r="BK61" s="208" t="s">
        <v>386</v>
      </c>
      <c r="BL61" s="208" t="s">
        <v>386</v>
      </c>
      <c r="BM61" s="208" t="s">
        <v>386</v>
      </c>
      <c r="BN61" s="209" t="s">
        <v>386</v>
      </c>
      <c r="BO61" s="208" t="s">
        <v>386</v>
      </c>
      <c r="BP61" s="208" t="s">
        <v>386</v>
      </c>
      <c r="BQ61" s="208" t="s">
        <v>386</v>
      </c>
      <c r="BR61" s="208" t="s">
        <v>386</v>
      </c>
      <c r="BS61" s="209" t="s">
        <v>386</v>
      </c>
      <c r="BT61" s="215" t="s">
        <v>386</v>
      </c>
      <c r="BU61" s="215" t="s">
        <v>386</v>
      </c>
      <c r="BV61" s="215" t="s">
        <v>386</v>
      </c>
      <c r="BW61" s="215" t="s">
        <v>386</v>
      </c>
      <c r="BX61" s="406" t="s">
        <v>386</v>
      </c>
      <c r="BY61" s="215" t="s">
        <v>386</v>
      </c>
      <c r="BZ61" s="215" t="s">
        <v>386</v>
      </c>
      <c r="CA61" s="215" t="s">
        <v>386</v>
      </c>
      <c r="CB61" s="215" t="s">
        <v>386</v>
      </c>
      <c r="CC61" s="215" t="s">
        <v>386</v>
      </c>
      <c r="CD61" s="207" t="s">
        <v>386</v>
      </c>
      <c r="CE61" s="208" t="s">
        <v>386</v>
      </c>
      <c r="CF61" s="208" t="s">
        <v>386</v>
      </c>
      <c r="CG61" s="208" t="s">
        <v>386</v>
      </c>
      <c r="CH61" s="209" t="s">
        <v>386</v>
      </c>
    </row>
    <row r="62" spans="1:86" x14ac:dyDescent="0.25">
      <c r="A62" s="107" t="s">
        <v>91</v>
      </c>
      <c r="B62" s="213">
        <v>53.74</v>
      </c>
      <c r="C62" s="214">
        <v>54.5</v>
      </c>
      <c r="D62" s="214">
        <v>48.37</v>
      </c>
      <c r="E62" s="214">
        <v>51.29</v>
      </c>
      <c r="F62" s="214">
        <v>42.620000000000005</v>
      </c>
      <c r="G62" s="213">
        <v>51.81</v>
      </c>
      <c r="H62" s="214">
        <v>52.99</v>
      </c>
      <c r="I62" s="214">
        <v>42.71</v>
      </c>
      <c r="J62" s="214">
        <v>51.28</v>
      </c>
      <c r="K62" s="217">
        <v>41.22</v>
      </c>
      <c r="L62" s="214">
        <v>204.32000000000002</v>
      </c>
      <c r="M62" s="214">
        <v>199.25</v>
      </c>
      <c r="N62" s="214">
        <v>177.85</v>
      </c>
      <c r="O62" s="214">
        <v>196.06</v>
      </c>
      <c r="P62" s="214">
        <v>181.97000000000003</v>
      </c>
      <c r="Q62" s="213">
        <v>74.5</v>
      </c>
      <c r="R62" s="214">
        <v>61</v>
      </c>
      <c r="S62" s="214">
        <v>64.5</v>
      </c>
      <c r="T62" s="214">
        <v>86.51</v>
      </c>
      <c r="U62" s="217">
        <v>61</v>
      </c>
      <c r="V62" s="214">
        <v>90.8</v>
      </c>
      <c r="W62" s="214">
        <v>49.22</v>
      </c>
      <c r="X62" s="214">
        <v>61.7</v>
      </c>
      <c r="Y62" s="214">
        <v>57.74</v>
      </c>
      <c r="Z62" s="214">
        <v>67.94</v>
      </c>
      <c r="AA62" s="207" t="s">
        <v>386</v>
      </c>
      <c r="AB62" s="208" t="s">
        <v>386</v>
      </c>
      <c r="AC62" s="208" t="s">
        <v>386</v>
      </c>
      <c r="AD62" s="208" t="s">
        <v>386</v>
      </c>
      <c r="AE62" s="208" t="s">
        <v>386</v>
      </c>
      <c r="AF62" s="362" t="s">
        <v>386</v>
      </c>
      <c r="AG62" s="363" t="s">
        <v>386</v>
      </c>
      <c r="AH62" s="363" t="s">
        <v>386</v>
      </c>
      <c r="AI62" s="363" t="s">
        <v>386</v>
      </c>
      <c r="AJ62" s="364" t="s">
        <v>386</v>
      </c>
      <c r="AK62" s="208" t="s">
        <v>386</v>
      </c>
      <c r="AL62" s="208" t="s">
        <v>386</v>
      </c>
      <c r="AM62" s="208" t="s">
        <v>386</v>
      </c>
      <c r="AN62" s="208" t="s">
        <v>386</v>
      </c>
      <c r="AO62" s="208" t="s">
        <v>386</v>
      </c>
      <c r="AP62" s="213">
        <v>2164</v>
      </c>
      <c r="AQ62" s="214">
        <v>2185.46</v>
      </c>
      <c r="AR62" s="214">
        <v>2593.81</v>
      </c>
      <c r="AS62" s="214">
        <v>2553.84</v>
      </c>
      <c r="AT62" s="217">
        <v>1845.18</v>
      </c>
      <c r="AU62" s="208" t="s">
        <v>386</v>
      </c>
      <c r="AV62" s="208" t="s">
        <v>386</v>
      </c>
      <c r="AW62" s="208" t="s">
        <v>386</v>
      </c>
      <c r="AX62" s="208" t="s">
        <v>386</v>
      </c>
      <c r="AY62" s="208" t="s">
        <v>386</v>
      </c>
      <c r="AZ62" s="207" t="s">
        <v>386</v>
      </c>
      <c r="BA62" s="208" t="s">
        <v>386</v>
      </c>
      <c r="BB62" s="208" t="s">
        <v>386</v>
      </c>
      <c r="BC62" s="208" t="s">
        <v>386</v>
      </c>
      <c r="BD62" s="209" t="s">
        <v>386</v>
      </c>
      <c r="BE62" s="208" t="s">
        <v>386</v>
      </c>
      <c r="BF62" s="208" t="s">
        <v>386</v>
      </c>
      <c r="BG62" s="208" t="s">
        <v>386</v>
      </c>
      <c r="BH62" s="208" t="s">
        <v>386</v>
      </c>
      <c r="BI62" s="208" t="s">
        <v>386</v>
      </c>
      <c r="BJ62" s="207" t="s">
        <v>386</v>
      </c>
      <c r="BK62" s="208" t="s">
        <v>386</v>
      </c>
      <c r="BL62" s="208" t="s">
        <v>386</v>
      </c>
      <c r="BM62" s="208" t="s">
        <v>386</v>
      </c>
      <c r="BN62" s="209" t="s">
        <v>386</v>
      </c>
      <c r="BO62" s="208" t="s">
        <v>386</v>
      </c>
      <c r="BP62" s="208" t="s">
        <v>386</v>
      </c>
      <c r="BQ62" s="208" t="s">
        <v>386</v>
      </c>
      <c r="BR62" s="208" t="s">
        <v>386</v>
      </c>
      <c r="BS62" s="209" t="s">
        <v>386</v>
      </c>
      <c r="BT62" s="215" t="s">
        <v>386</v>
      </c>
      <c r="BU62" s="215" t="s">
        <v>386</v>
      </c>
      <c r="BV62" s="215" t="s">
        <v>386</v>
      </c>
      <c r="BW62" s="215" t="s">
        <v>386</v>
      </c>
      <c r="BX62" s="406" t="s">
        <v>386</v>
      </c>
      <c r="BY62" s="215" t="s">
        <v>386</v>
      </c>
      <c r="BZ62" s="215" t="s">
        <v>386</v>
      </c>
      <c r="CA62" s="215" t="s">
        <v>386</v>
      </c>
      <c r="CB62" s="215" t="s">
        <v>386</v>
      </c>
      <c r="CC62" s="215" t="s">
        <v>386</v>
      </c>
      <c r="CD62" s="207" t="s">
        <v>386</v>
      </c>
      <c r="CE62" s="208" t="s">
        <v>386</v>
      </c>
      <c r="CF62" s="208" t="s">
        <v>386</v>
      </c>
      <c r="CG62" s="208" t="s">
        <v>386</v>
      </c>
      <c r="CH62" s="209" t="s">
        <v>386</v>
      </c>
    </row>
    <row r="63" spans="1:86" x14ac:dyDescent="0.25">
      <c r="A63" s="107" t="s">
        <v>92</v>
      </c>
      <c r="B63" s="213">
        <v>51.63</v>
      </c>
      <c r="C63" s="214">
        <v>47.1</v>
      </c>
      <c r="D63" s="214">
        <v>52.92</v>
      </c>
      <c r="E63" s="214">
        <v>42.86</v>
      </c>
      <c r="F63" s="214">
        <v>41.51</v>
      </c>
      <c r="G63" s="213">
        <v>65.8</v>
      </c>
      <c r="H63" s="214">
        <v>64.87</v>
      </c>
      <c r="I63" s="214">
        <v>65.510000000000005</v>
      </c>
      <c r="J63" s="214">
        <v>62.08</v>
      </c>
      <c r="K63" s="217">
        <v>50.58</v>
      </c>
      <c r="L63" s="214">
        <v>220.91000000000003</v>
      </c>
      <c r="M63" s="214">
        <v>215.46</v>
      </c>
      <c r="N63" s="214">
        <v>228.51000000000002</v>
      </c>
      <c r="O63" s="214">
        <v>202.95000000000002</v>
      </c>
      <c r="P63" s="214">
        <v>168.47</v>
      </c>
      <c r="Q63" s="213">
        <v>55</v>
      </c>
      <c r="R63" s="214">
        <v>61</v>
      </c>
      <c r="S63" s="214">
        <v>73.2</v>
      </c>
      <c r="T63" s="214">
        <v>86.51</v>
      </c>
      <c r="U63" s="217">
        <v>85.65</v>
      </c>
      <c r="V63" s="214">
        <v>74.13</v>
      </c>
      <c r="W63" s="214">
        <v>104.52</v>
      </c>
      <c r="X63" s="214">
        <v>68.97</v>
      </c>
      <c r="Y63" s="214">
        <v>71.849999999999994</v>
      </c>
      <c r="Z63" s="214">
        <v>79.430000000000007</v>
      </c>
      <c r="AA63" s="207" t="s">
        <v>386</v>
      </c>
      <c r="AB63" s="208" t="s">
        <v>386</v>
      </c>
      <c r="AC63" s="208" t="s">
        <v>386</v>
      </c>
      <c r="AD63" s="208" t="s">
        <v>386</v>
      </c>
      <c r="AE63" s="208" t="s">
        <v>386</v>
      </c>
      <c r="AF63" s="362" t="s">
        <v>386</v>
      </c>
      <c r="AG63" s="363" t="s">
        <v>386</v>
      </c>
      <c r="AH63" s="363" t="s">
        <v>386</v>
      </c>
      <c r="AI63" s="363" t="s">
        <v>386</v>
      </c>
      <c r="AJ63" s="364" t="s">
        <v>386</v>
      </c>
      <c r="AK63" s="208" t="s">
        <v>386</v>
      </c>
      <c r="AL63" s="208" t="s">
        <v>386</v>
      </c>
      <c r="AM63" s="208" t="s">
        <v>386</v>
      </c>
      <c r="AN63" s="208" t="s">
        <v>386</v>
      </c>
      <c r="AO63" s="208" t="s">
        <v>386</v>
      </c>
      <c r="AP63" s="207" t="s">
        <v>386</v>
      </c>
      <c r="AQ63" s="208" t="s">
        <v>386</v>
      </c>
      <c r="AR63" s="208" t="s">
        <v>386</v>
      </c>
      <c r="AS63" s="208" t="s">
        <v>386</v>
      </c>
      <c r="AT63" s="209" t="s">
        <v>386</v>
      </c>
      <c r="AU63" s="208" t="s">
        <v>386</v>
      </c>
      <c r="AV63" s="208" t="s">
        <v>386</v>
      </c>
      <c r="AW63" s="208" t="s">
        <v>386</v>
      </c>
      <c r="AX63" s="208" t="s">
        <v>386</v>
      </c>
      <c r="AY63" s="208" t="s">
        <v>386</v>
      </c>
      <c r="AZ63" s="207" t="s">
        <v>386</v>
      </c>
      <c r="BA63" s="208" t="s">
        <v>386</v>
      </c>
      <c r="BB63" s="208" t="s">
        <v>386</v>
      </c>
      <c r="BC63" s="208" t="s">
        <v>386</v>
      </c>
      <c r="BD63" s="209" t="s">
        <v>386</v>
      </c>
      <c r="BE63" s="208" t="s">
        <v>386</v>
      </c>
      <c r="BF63" s="208" t="s">
        <v>386</v>
      </c>
      <c r="BG63" s="208" t="s">
        <v>386</v>
      </c>
      <c r="BH63" s="208" t="s">
        <v>386</v>
      </c>
      <c r="BI63" s="208" t="s">
        <v>386</v>
      </c>
      <c r="BJ63" s="207" t="s">
        <v>386</v>
      </c>
      <c r="BK63" s="208" t="s">
        <v>386</v>
      </c>
      <c r="BL63" s="208" t="s">
        <v>386</v>
      </c>
      <c r="BM63" s="208" t="s">
        <v>386</v>
      </c>
      <c r="BN63" s="209" t="s">
        <v>386</v>
      </c>
      <c r="BO63" s="208" t="s">
        <v>386</v>
      </c>
      <c r="BP63" s="208" t="s">
        <v>386</v>
      </c>
      <c r="BQ63" s="208" t="s">
        <v>386</v>
      </c>
      <c r="BR63" s="208" t="s">
        <v>386</v>
      </c>
      <c r="BS63" s="209" t="s">
        <v>386</v>
      </c>
      <c r="BT63" s="215" t="s">
        <v>386</v>
      </c>
      <c r="BU63" s="215" t="s">
        <v>386</v>
      </c>
      <c r="BV63" s="215" t="s">
        <v>386</v>
      </c>
      <c r="BW63" s="215" t="s">
        <v>386</v>
      </c>
      <c r="BX63" s="406" t="s">
        <v>386</v>
      </c>
      <c r="BY63" s="215" t="s">
        <v>386</v>
      </c>
      <c r="BZ63" s="215" t="s">
        <v>386</v>
      </c>
      <c r="CA63" s="215" t="s">
        <v>386</v>
      </c>
      <c r="CB63" s="215" t="s">
        <v>386</v>
      </c>
      <c r="CC63" s="215" t="s">
        <v>386</v>
      </c>
      <c r="CD63" s="207" t="s">
        <v>386</v>
      </c>
      <c r="CE63" s="208" t="s">
        <v>386</v>
      </c>
      <c r="CF63" s="208" t="s">
        <v>386</v>
      </c>
      <c r="CG63" s="208" t="s">
        <v>386</v>
      </c>
      <c r="CH63" s="209" t="s">
        <v>386</v>
      </c>
    </row>
    <row r="64" spans="1:86" x14ac:dyDescent="0.25">
      <c r="A64" s="107" t="s">
        <v>93</v>
      </c>
      <c r="B64" s="213">
        <v>41.989999999999995</v>
      </c>
      <c r="C64" s="214">
        <v>44.41</v>
      </c>
      <c r="D64" s="214">
        <v>43.830000000000005</v>
      </c>
      <c r="E64" s="214">
        <v>53.24</v>
      </c>
      <c r="F64" s="214">
        <v>44.01</v>
      </c>
      <c r="G64" s="213">
        <v>64.69</v>
      </c>
      <c r="H64" s="214">
        <v>59.55</v>
      </c>
      <c r="I64" s="214">
        <v>59.050000000000004</v>
      </c>
      <c r="J64" s="214">
        <v>56.24</v>
      </c>
      <c r="K64" s="217">
        <v>52.26</v>
      </c>
      <c r="L64" s="214">
        <v>228.35</v>
      </c>
      <c r="M64" s="214">
        <v>197.69</v>
      </c>
      <c r="N64" s="214">
        <v>214.48</v>
      </c>
      <c r="O64" s="214">
        <v>196.54</v>
      </c>
      <c r="P64" s="214">
        <v>176.16000000000003</v>
      </c>
      <c r="Q64" s="213">
        <v>55</v>
      </c>
      <c r="R64" s="214">
        <v>61</v>
      </c>
      <c r="S64" s="214">
        <v>73.2</v>
      </c>
      <c r="T64" s="214">
        <v>86.51</v>
      </c>
      <c r="U64" s="217">
        <v>85.65</v>
      </c>
      <c r="V64" s="214">
        <v>81.650000000000006</v>
      </c>
      <c r="W64" s="214">
        <v>70.64</v>
      </c>
      <c r="X64" s="214">
        <v>82.2</v>
      </c>
      <c r="Y64" s="214">
        <v>79.63</v>
      </c>
      <c r="Z64" s="214">
        <v>64.8</v>
      </c>
      <c r="AA64" s="207" t="s">
        <v>386</v>
      </c>
      <c r="AB64" s="208" t="s">
        <v>386</v>
      </c>
      <c r="AC64" s="208" t="s">
        <v>386</v>
      </c>
      <c r="AD64" s="208" t="s">
        <v>386</v>
      </c>
      <c r="AE64" s="208" t="s">
        <v>386</v>
      </c>
      <c r="AF64" s="229">
        <v>71</v>
      </c>
      <c r="AG64" s="220">
        <v>94</v>
      </c>
      <c r="AH64" s="220">
        <v>81.83</v>
      </c>
      <c r="AI64" s="220">
        <v>88.21</v>
      </c>
      <c r="AJ64" s="224">
        <v>79.52</v>
      </c>
      <c r="AK64" s="214" t="s">
        <v>386</v>
      </c>
      <c r="AL64" s="214" t="s">
        <v>386</v>
      </c>
      <c r="AM64" s="214" t="s">
        <v>386</v>
      </c>
      <c r="AN64" s="214" t="s">
        <v>386</v>
      </c>
      <c r="AO64" s="214" t="s">
        <v>386</v>
      </c>
      <c r="AP64" s="207" t="s">
        <v>386</v>
      </c>
      <c r="AQ64" s="208" t="s">
        <v>386</v>
      </c>
      <c r="AR64" s="208" t="s">
        <v>386</v>
      </c>
      <c r="AS64" s="208" t="s">
        <v>386</v>
      </c>
      <c r="AT64" s="209" t="s">
        <v>386</v>
      </c>
      <c r="AU64" s="208" t="s">
        <v>386</v>
      </c>
      <c r="AV64" s="208" t="s">
        <v>386</v>
      </c>
      <c r="AW64" s="208" t="s">
        <v>386</v>
      </c>
      <c r="AX64" s="208" t="s">
        <v>386</v>
      </c>
      <c r="AY64" s="208" t="s">
        <v>386</v>
      </c>
      <c r="AZ64" s="207" t="s">
        <v>386</v>
      </c>
      <c r="BA64" s="208" t="s">
        <v>386</v>
      </c>
      <c r="BB64" s="208" t="s">
        <v>386</v>
      </c>
      <c r="BC64" s="208" t="s">
        <v>386</v>
      </c>
      <c r="BD64" s="209" t="s">
        <v>386</v>
      </c>
      <c r="BE64" s="208" t="s">
        <v>386</v>
      </c>
      <c r="BF64" s="208" t="s">
        <v>386</v>
      </c>
      <c r="BG64" s="208" t="s">
        <v>386</v>
      </c>
      <c r="BH64" s="208" t="s">
        <v>386</v>
      </c>
      <c r="BI64" s="208" t="s">
        <v>386</v>
      </c>
      <c r="BJ64" s="207" t="s">
        <v>386</v>
      </c>
      <c r="BK64" s="208" t="s">
        <v>386</v>
      </c>
      <c r="BL64" s="208" t="s">
        <v>386</v>
      </c>
      <c r="BM64" s="208" t="s">
        <v>386</v>
      </c>
      <c r="BN64" s="209" t="s">
        <v>386</v>
      </c>
      <c r="BO64" s="208" t="s">
        <v>386</v>
      </c>
      <c r="BP64" s="208" t="s">
        <v>386</v>
      </c>
      <c r="BQ64" s="208" t="s">
        <v>386</v>
      </c>
      <c r="BR64" s="208" t="s">
        <v>386</v>
      </c>
      <c r="BS64" s="209" t="s">
        <v>386</v>
      </c>
      <c r="BT64" s="215" t="s">
        <v>386</v>
      </c>
      <c r="BU64" s="215" t="s">
        <v>386</v>
      </c>
      <c r="BV64" s="215" t="s">
        <v>386</v>
      </c>
      <c r="BW64" s="215" t="s">
        <v>386</v>
      </c>
      <c r="BX64" s="406" t="s">
        <v>386</v>
      </c>
      <c r="BY64" s="215" t="s">
        <v>386</v>
      </c>
      <c r="BZ64" s="215" t="s">
        <v>386</v>
      </c>
      <c r="CA64" s="215" t="s">
        <v>386</v>
      </c>
      <c r="CB64" s="215" t="s">
        <v>386</v>
      </c>
      <c r="CC64" s="215" t="s">
        <v>386</v>
      </c>
      <c r="CD64" s="207" t="s">
        <v>386</v>
      </c>
      <c r="CE64" s="208" t="s">
        <v>386</v>
      </c>
      <c r="CF64" s="208" t="s">
        <v>386</v>
      </c>
      <c r="CG64" s="208" t="s">
        <v>386</v>
      </c>
      <c r="CH64" s="209" t="s">
        <v>386</v>
      </c>
    </row>
    <row r="65" spans="1:86" x14ac:dyDescent="0.25">
      <c r="A65" s="107" t="s">
        <v>94</v>
      </c>
      <c r="B65" s="213">
        <v>37.43</v>
      </c>
      <c r="C65" s="214">
        <v>47.1</v>
      </c>
      <c r="D65" s="214">
        <v>57.76</v>
      </c>
      <c r="E65" s="214">
        <v>68.56</v>
      </c>
      <c r="F65" s="214">
        <v>69.959999999999994</v>
      </c>
      <c r="G65" s="213">
        <v>36.1</v>
      </c>
      <c r="H65" s="214">
        <v>37</v>
      </c>
      <c r="I65" s="214">
        <v>41.23</v>
      </c>
      <c r="J65" s="214">
        <v>37.5</v>
      </c>
      <c r="K65" s="217">
        <v>36.92</v>
      </c>
      <c r="L65" s="214">
        <v>178.3</v>
      </c>
      <c r="M65" s="214">
        <v>118</v>
      </c>
      <c r="N65" s="214">
        <v>157.6</v>
      </c>
      <c r="O65" s="214">
        <v>144.16999999999999</v>
      </c>
      <c r="P65" s="214">
        <v>151.43</v>
      </c>
      <c r="Q65" s="213">
        <v>56.4</v>
      </c>
      <c r="R65" s="214">
        <v>61</v>
      </c>
      <c r="S65" s="214">
        <v>68.7</v>
      </c>
      <c r="T65" s="214">
        <v>86.51</v>
      </c>
      <c r="U65" s="217">
        <v>85.65</v>
      </c>
      <c r="V65" s="214">
        <v>41.6</v>
      </c>
      <c r="W65" s="214">
        <v>50.5</v>
      </c>
      <c r="X65" s="214">
        <v>49.6</v>
      </c>
      <c r="Y65" s="214">
        <v>63.21</v>
      </c>
      <c r="Z65" s="214">
        <v>62.81</v>
      </c>
      <c r="AA65" s="207" t="s">
        <v>386</v>
      </c>
      <c r="AB65" s="208" t="s">
        <v>386</v>
      </c>
      <c r="AC65" s="208" t="s">
        <v>386</v>
      </c>
      <c r="AD65" s="208" t="s">
        <v>386</v>
      </c>
      <c r="AE65" s="208" t="s">
        <v>386</v>
      </c>
      <c r="AF65" s="362" t="s">
        <v>386</v>
      </c>
      <c r="AG65" s="363" t="s">
        <v>386</v>
      </c>
      <c r="AH65" s="363" t="s">
        <v>386</v>
      </c>
      <c r="AI65" s="363" t="s">
        <v>386</v>
      </c>
      <c r="AJ65" s="364" t="s">
        <v>386</v>
      </c>
      <c r="AK65" s="208" t="s">
        <v>386</v>
      </c>
      <c r="AL65" s="208" t="s">
        <v>386</v>
      </c>
      <c r="AM65" s="208" t="s">
        <v>386</v>
      </c>
      <c r="AN65" s="208" t="s">
        <v>386</v>
      </c>
      <c r="AO65" s="208" t="s">
        <v>386</v>
      </c>
      <c r="AP65" s="207" t="s">
        <v>386</v>
      </c>
      <c r="AQ65" s="208" t="s">
        <v>386</v>
      </c>
      <c r="AR65" s="208" t="s">
        <v>386</v>
      </c>
      <c r="AS65" s="208" t="s">
        <v>386</v>
      </c>
      <c r="AT65" s="209" t="s">
        <v>386</v>
      </c>
      <c r="AU65" s="208" t="s">
        <v>386</v>
      </c>
      <c r="AV65" s="208" t="s">
        <v>386</v>
      </c>
      <c r="AW65" s="208" t="s">
        <v>386</v>
      </c>
      <c r="AX65" s="208" t="s">
        <v>386</v>
      </c>
      <c r="AY65" s="208" t="s">
        <v>386</v>
      </c>
      <c r="AZ65" s="207" t="s">
        <v>386</v>
      </c>
      <c r="BA65" s="208" t="s">
        <v>386</v>
      </c>
      <c r="BB65" s="208" t="s">
        <v>386</v>
      </c>
      <c r="BC65" s="208" t="s">
        <v>386</v>
      </c>
      <c r="BD65" s="209" t="s">
        <v>386</v>
      </c>
      <c r="BE65" s="208" t="s">
        <v>386</v>
      </c>
      <c r="BF65" s="208" t="s">
        <v>386</v>
      </c>
      <c r="BG65" s="208" t="s">
        <v>386</v>
      </c>
      <c r="BH65" s="208" t="s">
        <v>386</v>
      </c>
      <c r="BI65" s="208" t="s">
        <v>386</v>
      </c>
      <c r="BJ65" s="207" t="s">
        <v>386</v>
      </c>
      <c r="BK65" s="208" t="s">
        <v>386</v>
      </c>
      <c r="BL65" s="208" t="s">
        <v>386</v>
      </c>
      <c r="BM65" s="208" t="s">
        <v>386</v>
      </c>
      <c r="BN65" s="209" t="s">
        <v>386</v>
      </c>
      <c r="BO65" s="208" t="s">
        <v>386</v>
      </c>
      <c r="BP65" s="208" t="s">
        <v>386</v>
      </c>
      <c r="BQ65" s="208" t="s">
        <v>386</v>
      </c>
      <c r="BR65" s="208" t="s">
        <v>386</v>
      </c>
      <c r="BS65" s="209" t="s">
        <v>386</v>
      </c>
      <c r="BT65" s="215">
        <v>1971</v>
      </c>
      <c r="BU65" s="215">
        <v>1809</v>
      </c>
      <c r="BV65" s="215">
        <v>1938</v>
      </c>
      <c r="BW65" s="215">
        <v>2003</v>
      </c>
      <c r="BX65" s="406">
        <v>2019</v>
      </c>
      <c r="BY65" s="215" t="s">
        <v>386</v>
      </c>
      <c r="BZ65" s="215" t="s">
        <v>386</v>
      </c>
      <c r="CA65" s="215" t="s">
        <v>386</v>
      </c>
      <c r="CB65" s="215" t="s">
        <v>386</v>
      </c>
      <c r="CC65" s="215" t="s">
        <v>386</v>
      </c>
      <c r="CD65" s="207" t="s">
        <v>386</v>
      </c>
      <c r="CE65" s="208" t="s">
        <v>386</v>
      </c>
      <c r="CF65" s="208" t="s">
        <v>386</v>
      </c>
      <c r="CG65" s="208" t="s">
        <v>386</v>
      </c>
      <c r="CH65" s="209" t="s">
        <v>386</v>
      </c>
    </row>
    <row r="66" spans="1:86" x14ac:dyDescent="0.25">
      <c r="A66" s="107" t="s">
        <v>95</v>
      </c>
      <c r="B66" s="213">
        <v>41.44</v>
      </c>
      <c r="C66" s="214">
        <v>40.300000000000004</v>
      </c>
      <c r="D66" s="214">
        <v>37.68</v>
      </c>
      <c r="E66" s="214">
        <v>46.98</v>
      </c>
      <c r="F66" s="214">
        <v>39.76</v>
      </c>
      <c r="G66" s="213">
        <v>65.14</v>
      </c>
      <c r="H66" s="214">
        <v>67.56</v>
      </c>
      <c r="I66" s="214">
        <v>61.49</v>
      </c>
      <c r="J66" s="214">
        <v>59.09</v>
      </c>
      <c r="K66" s="217">
        <v>52.21</v>
      </c>
      <c r="L66" s="214">
        <v>222.95000000000002</v>
      </c>
      <c r="M66" s="214">
        <v>213.19</v>
      </c>
      <c r="N66" s="214">
        <v>205.89</v>
      </c>
      <c r="O66" s="214">
        <v>206.01</v>
      </c>
      <c r="P66" s="214">
        <v>171.71</v>
      </c>
      <c r="Q66" s="213">
        <v>58.4</v>
      </c>
      <c r="R66" s="214">
        <v>61</v>
      </c>
      <c r="S66" s="214">
        <v>73.2</v>
      </c>
      <c r="T66" s="214">
        <v>86.51</v>
      </c>
      <c r="U66" s="217">
        <v>85.65</v>
      </c>
      <c r="V66" s="214">
        <v>66.91</v>
      </c>
      <c r="W66" s="214">
        <v>56</v>
      </c>
      <c r="X66" s="214">
        <v>67.3</v>
      </c>
      <c r="Y66" s="214">
        <v>60.91</v>
      </c>
      <c r="Z66" s="214">
        <v>60.8</v>
      </c>
      <c r="AA66" s="207" t="s">
        <v>386</v>
      </c>
      <c r="AB66" s="208" t="s">
        <v>386</v>
      </c>
      <c r="AC66" s="208" t="s">
        <v>386</v>
      </c>
      <c r="AD66" s="208" t="s">
        <v>386</v>
      </c>
      <c r="AE66" s="208" t="s">
        <v>386</v>
      </c>
      <c r="AF66" s="362" t="s">
        <v>386</v>
      </c>
      <c r="AG66" s="363" t="s">
        <v>386</v>
      </c>
      <c r="AH66" s="363" t="s">
        <v>386</v>
      </c>
      <c r="AI66" s="363" t="s">
        <v>386</v>
      </c>
      <c r="AJ66" s="364" t="s">
        <v>386</v>
      </c>
      <c r="AK66" s="208" t="s">
        <v>386</v>
      </c>
      <c r="AL66" s="208" t="s">
        <v>386</v>
      </c>
      <c r="AM66" s="208" t="s">
        <v>386</v>
      </c>
      <c r="AN66" s="208" t="s">
        <v>386</v>
      </c>
      <c r="AO66" s="208" t="s">
        <v>386</v>
      </c>
      <c r="AP66" s="207" t="s">
        <v>386</v>
      </c>
      <c r="AQ66" s="208" t="s">
        <v>386</v>
      </c>
      <c r="AR66" s="208" t="s">
        <v>386</v>
      </c>
      <c r="AS66" s="208" t="s">
        <v>386</v>
      </c>
      <c r="AT66" s="209" t="s">
        <v>386</v>
      </c>
      <c r="AU66" s="208" t="s">
        <v>386</v>
      </c>
      <c r="AV66" s="208" t="s">
        <v>386</v>
      </c>
      <c r="AW66" s="208" t="s">
        <v>386</v>
      </c>
      <c r="AX66" s="208" t="s">
        <v>386</v>
      </c>
      <c r="AY66" s="208" t="s">
        <v>386</v>
      </c>
      <c r="AZ66" s="207" t="s">
        <v>386</v>
      </c>
      <c r="BA66" s="208" t="s">
        <v>386</v>
      </c>
      <c r="BB66" s="208" t="s">
        <v>386</v>
      </c>
      <c r="BC66" s="208" t="s">
        <v>386</v>
      </c>
      <c r="BD66" s="209" t="s">
        <v>386</v>
      </c>
      <c r="BE66" s="208" t="s">
        <v>386</v>
      </c>
      <c r="BF66" s="208" t="s">
        <v>386</v>
      </c>
      <c r="BG66" s="208" t="s">
        <v>386</v>
      </c>
      <c r="BH66" s="208" t="s">
        <v>386</v>
      </c>
      <c r="BI66" s="208" t="s">
        <v>386</v>
      </c>
      <c r="BJ66" s="207" t="s">
        <v>386</v>
      </c>
      <c r="BK66" s="208" t="s">
        <v>386</v>
      </c>
      <c r="BL66" s="208" t="s">
        <v>386</v>
      </c>
      <c r="BM66" s="208" t="s">
        <v>386</v>
      </c>
      <c r="BN66" s="209" t="s">
        <v>386</v>
      </c>
      <c r="BO66" s="208" t="s">
        <v>386</v>
      </c>
      <c r="BP66" s="208" t="s">
        <v>386</v>
      </c>
      <c r="BQ66" s="208" t="s">
        <v>386</v>
      </c>
      <c r="BR66" s="208" t="s">
        <v>386</v>
      </c>
      <c r="BS66" s="209" t="s">
        <v>386</v>
      </c>
      <c r="BT66" s="215" t="s">
        <v>386</v>
      </c>
      <c r="BU66" s="215" t="s">
        <v>386</v>
      </c>
      <c r="BV66" s="215" t="s">
        <v>386</v>
      </c>
      <c r="BW66" s="215" t="s">
        <v>386</v>
      </c>
      <c r="BX66" s="406" t="s">
        <v>386</v>
      </c>
      <c r="BY66" s="215" t="s">
        <v>386</v>
      </c>
      <c r="BZ66" s="215" t="s">
        <v>386</v>
      </c>
      <c r="CA66" s="215" t="s">
        <v>386</v>
      </c>
      <c r="CB66" s="215" t="s">
        <v>386</v>
      </c>
      <c r="CC66" s="215" t="s">
        <v>386</v>
      </c>
      <c r="CD66" s="207" t="s">
        <v>386</v>
      </c>
      <c r="CE66" s="208" t="s">
        <v>386</v>
      </c>
      <c r="CF66" s="208" t="s">
        <v>386</v>
      </c>
      <c r="CG66" s="208" t="s">
        <v>386</v>
      </c>
      <c r="CH66" s="209" t="s">
        <v>386</v>
      </c>
    </row>
    <row r="67" spans="1:86" x14ac:dyDescent="0.25">
      <c r="A67" s="107" t="s">
        <v>96</v>
      </c>
      <c r="B67" s="213">
        <v>44.5</v>
      </c>
      <c r="C67" s="214">
        <v>47.1</v>
      </c>
      <c r="D67" s="214">
        <v>59</v>
      </c>
      <c r="E67" s="214">
        <v>59.34</v>
      </c>
      <c r="F67" s="214">
        <v>51.95</v>
      </c>
      <c r="G67" s="213">
        <v>41.69</v>
      </c>
      <c r="H67" s="214">
        <v>34.200000000000003</v>
      </c>
      <c r="I67" s="214">
        <v>34.049999999999997</v>
      </c>
      <c r="J67" s="214">
        <v>27.4</v>
      </c>
      <c r="K67" s="217">
        <v>35.130000000000003</v>
      </c>
      <c r="L67" s="214">
        <v>137.32</v>
      </c>
      <c r="M67" s="214">
        <v>69.900000000000006</v>
      </c>
      <c r="N67" s="214">
        <v>110.95</v>
      </c>
      <c r="O67" s="214">
        <v>68.5</v>
      </c>
      <c r="P67" s="214">
        <v>148.95000000000002</v>
      </c>
      <c r="Q67" s="213">
        <v>49.7</v>
      </c>
      <c r="R67" s="214">
        <v>61</v>
      </c>
      <c r="S67" s="214">
        <v>68.099999999999994</v>
      </c>
      <c r="T67" s="214">
        <v>86.51</v>
      </c>
      <c r="U67" s="217">
        <v>85.65</v>
      </c>
      <c r="V67" s="214">
        <v>42.8</v>
      </c>
      <c r="W67" s="214">
        <v>50.5</v>
      </c>
      <c r="X67" s="214">
        <v>44</v>
      </c>
      <c r="Y67" s="214">
        <v>73.900000000000006</v>
      </c>
      <c r="Z67" s="214">
        <v>80.95</v>
      </c>
      <c r="AA67" s="207" t="s">
        <v>386</v>
      </c>
      <c r="AB67" s="208" t="s">
        <v>386</v>
      </c>
      <c r="AC67" s="208" t="s">
        <v>386</v>
      </c>
      <c r="AD67" s="208" t="s">
        <v>386</v>
      </c>
      <c r="AE67" s="208" t="s">
        <v>386</v>
      </c>
      <c r="AF67" s="229">
        <v>71</v>
      </c>
      <c r="AG67" s="220">
        <v>94</v>
      </c>
      <c r="AH67" s="220">
        <v>81.83</v>
      </c>
      <c r="AI67" s="220">
        <v>88.21</v>
      </c>
      <c r="AJ67" s="224">
        <v>79.52</v>
      </c>
      <c r="AK67" s="208" t="s">
        <v>386</v>
      </c>
      <c r="AL67" s="208" t="s">
        <v>386</v>
      </c>
      <c r="AM67" s="208" t="s">
        <v>386</v>
      </c>
      <c r="AN67" s="208" t="s">
        <v>386</v>
      </c>
      <c r="AO67" s="208" t="s">
        <v>386</v>
      </c>
      <c r="AP67" s="207" t="s">
        <v>386</v>
      </c>
      <c r="AQ67" s="208" t="s">
        <v>386</v>
      </c>
      <c r="AR67" s="208" t="s">
        <v>386</v>
      </c>
      <c r="AS67" s="208" t="s">
        <v>386</v>
      </c>
      <c r="AT67" s="209" t="s">
        <v>386</v>
      </c>
      <c r="AU67" s="208" t="s">
        <v>386</v>
      </c>
      <c r="AV67" s="208" t="s">
        <v>386</v>
      </c>
      <c r="AW67" s="208" t="s">
        <v>386</v>
      </c>
      <c r="AX67" s="208" t="s">
        <v>386</v>
      </c>
      <c r="AY67" s="208" t="s">
        <v>386</v>
      </c>
      <c r="AZ67" s="207" t="s">
        <v>386</v>
      </c>
      <c r="BA67" s="208" t="s">
        <v>386</v>
      </c>
      <c r="BB67" s="208" t="s">
        <v>386</v>
      </c>
      <c r="BC67" s="208" t="s">
        <v>386</v>
      </c>
      <c r="BD67" s="209" t="s">
        <v>386</v>
      </c>
      <c r="BE67" s="208" t="s">
        <v>386</v>
      </c>
      <c r="BF67" s="208" t="s">
        <v>386</v>
      </c>
      <c r="BG67" s="208" t="s">
        <v>386</v>
      </c>
      <c r="BH67" s="208" t="s">
        <v>386</v>
      </c>
      <c r="BI67" s="208" t="s">
        <v>386</v>
      </c>
      <c r="BJ67" s="207" t="s">
        <v>386</v>
      </c>
      <c r="BK67" s="208" t="s">
        <v>386</v>
      </c>
      <c r="BL67" s="208" t="s">
        <v>386</v>
      </c>
      <c r="BM67" s="208" t="s">
        <v>386</v>
      </c>
      <c r="BN67" s="209" t="s">
        <v>386</v>
      </c>
      <c r="BO67" s="208" t="s">
        <v>386</v>
      </c>
      <c r="BP67" s="208" t="s">
        <v>386</v>
      </c>
      <c r="BQ67" s="208" t="s">
        <v>386</v>
      </c>
      <c r="BR67" s="208" t="s">
        <v>386</v>
      </c>
      <c r="BS67" s="209" t="s">
        <v>386</v>
      </c>
      <c r="BT67" s="215" t="s">
        <v>386</v>
      </c>
      <c r="BU67" s="215" t="s">
        <v>386</v>
      </c>
      <c r="BV67" s="215" t="s">
        <v>386</v>
      </c>
      <c r="BW67" s="215" t="s">
        <v>386</v>
      </c>
      <c r="BX67" s="406" t="s">
        <v>386</v>
      </c>
      <c r="BY67" s="215" t="s">
        <v>386</v>
      </c>
      <c r="BZ67" s="215" t="s">
        <v>386</v>
      </c>
      <c r="CA67" s="215" t="s">
        <v>386</v>
      </c>
      <c r="CB67" s="215" t="s">
        <v>386</v>
      </c>
      <c r="CC67" s="215" t="s">
        <v>386</v>
      </c>
      <c r="CD67" s="207" t="s">
        <v>386</v>
      </c>
      <c r="CE67" s="208" t="s">
        <v>386</v>
      </c>
      <c r="CF67" s="208" t="s">
        <v>386</v>
      </c>
      <c r="CG67" s="208" t="s">
        <v>386</v>
      </c>
      <c r="CH67" s="209" t="s">
        <v>386</v>
      </c>
    </row>
    <row r="68" spans="1:86" x14ac:dyDescent="0.25">
      <c r="A68" s="107" t="s">
        <v>97</v>
      </c>
      <c r="B68" s="213">
        <v>45.660000000000004</v>
      </c>
      <c r="C68" s="214">
        <v>43.769999999999996</v>
      </c>
      <c r="D68" s="214">
        <v>46.32</v>
      </c>
      <c r="E68" s="214">
        <v>58.269999999999996</v>
      </c>
      <c r="F68" s="214">
        <v>36.82</v>
      </c>
      <c r="G68" s="213">
        <v>58.589999999999996</v>
      </c>
      <c r="H68" s="214">
        <v>55.279999999999994</v>
      </c>
      <c r="I68" s="214">
        <v>52.27</v>
      </c>
      <c r="J68" s="214">
        <v>50.31</v>
      </c>
      <c r="K68" s="217">
        <v>50.489999999999995</v>
      </c>
      <c r="L68" s="214">
        <v>222.8</v>
      </c>
      <c r="M68" s="214">
        <v>208.01000000000002</v>
      </c>
      <c r="N68" s="214">
        <v>214.23000000000002</v>
      </c>
      <c r="O68" s="214">
        <v>204.63</v>
      </c>
      <c r="P68" s="214">
        <v>199.86</v>
      </c>
      <c r="Q68" s="207">
        <v>67.5</v>
      </c>
      <c r="R68" s="208">
        <v>61</v>
      </c>
      <c r="S68" s="208">
        <v>76.5</v>
      </c>
      <c r="T68" s="208">
        <v>86.51</v>
      </c>
      <c r="U68" s="209">
        <v>61</v>
      </c>
      <c r="V68" s="214">
        <v>90.3</v>
      </c>
      <c r="W68" s="214">
        <v>50.5</v>
      </c>
      <c r="X68" s="214">
        <v>66</v>
      </c>
      <c r="Y68" s="214">
        <v>57.74</v>
      </c>
      <c r="Z68" s="214">
        <v>67.94</v>
      </c>
      <c r="AA68" s="207">
        <v>16.3</v>
      </c>
      <c r="AB68" s="208">
        <v>18.899999999999999</v>
      </c>
      <c r="AC68" s="208">
        <v>31.94</v>
      </c>
      <c r="AD68" s="208">
        <v>20.38</v>
      </c>
      <c r="AE68" s="208">
        <v>25.02</v>
      </c>
      <c r="AF68" s="229" t="s">
        <v>386</v>
      </c>
      <c r="AG68" s="220" t="s">
        <v>386</v>
      </c>
      <c r="AH68" s="220" t="s">
        <v>386</v>
      </c>
      <c r="AI68" s="220" t="s">
        <v>386</v>
      </c>
      <c r="AJ68" s="224" t="s">
        <v>386</v>
      </c>
      <c r="AK68" s="208" t="s">
        <v>386</v>
      </c>
      <c r="AL68" s="208" t="s">
        <v>386</v>
      </c>
      <c r="AM68" s="208" t="s">
        <v>386</v>
      </c>
      <c r="AN68" s="208" t="s">
        <v>386</v>
      </c>
      <c r="AO68" s="208" t="s">
        <v>386</v>
      </c>
      <c r="AP68" s="213">
        <v>1943</v>
      </c>
      <c r="AQ68" s="214">
        <v>2185.46</v>
      </c>
      <c r="AR68" s="214">
        <v>2593.81</v>
      </c>
      <c r="AS68" s="214">
        <v>2553.84</v>
      </c>
      <c r="AT68" s="217">
        <v>1845.18</v>
      </c>
      <c r="AU68" s="208">
        <v>2398</v>
      </c>
      <c r="AV68" s="208">
        <v>1520</v>
      </c>
      <c r="AW68" s="208">
        <v>2058.5</v>
      </c>
      <c r="AX68" s="208">
        <v>2300</v>
      </c>
      <c r="AY68" s="208">
        <v>2431</v>
      </c>
      <c r="AZ68" s="207" t="s">
        <v>386</v>
      </c>
      <c r="BA68" s="208" t="s">
        <v>386</v>
      </c>
      <c r="BB68" s="208" t="s">
        <v>386</v>
      </c>
      <c r="BC68" s="208" t="s">
        <v>386</v>
      </c>
      <c r="BD68" s="209" t="s">
        <v>386</v>
      </c>
      <c r="BE68" s="208" t="s">
        <v>386</v>
      </c>
      <c r="BF68" s="208" t="s">
        <v>386</v>
      </c>
      <c r="BG68" s="208" t="s">
        <v>386</v>
      </c>
      <c r="BH68" s="208" t="s">
        <v>386</v>
      </c>
      <c r="BI68" s="208" t="s">
        <v>386</v>
      </c>
      <c r="BJ68" s="207" t="s">
        <v>386</v>
      </c>
      <c r="BK68" s="208" t="s">
        <v>386</v>
      </c>
      <c r="BL68" s="208" t="s">
        <v>386</v>
      </c>
      <c r="BM68" s="208" t="s">
        <v>386</v>
      </c>
      <c r="BN68" s="209" t="s">
        <v>386</v>
      </c>
      <c r="BO68" s="208" t="s">
        <v>386</v>
      </c>
      <c r="BP68" s="208" t="s">
        <v>386</v>
      </c>
      <c r="BQ68" s="208" t="s">
        <v>386</v>
      </c>
      <c r="BR68" s="208" t="s">
        <v>386</v>
      </c>
      <c r="BS68" s="209" t="s">
        <v>386</v>
      </c>
      <c r="BT68" s="215" t="s">
        <v>386</v>
      </c>
      <c r="BU68" s="215" t="s">
        <v>386</v>
      </c>
      <c r="BV68" s="215" t="s">
        <v>386</v>
      </c>
      <c r="BW68" s="215" t="s">
        <v>386</v>
      </c>
      <c r="BX68" s="406" t="s">
        <v>386</v>
      </c>
      <c r="BY68" s="215" t="s">
        <v>386</v>
      </c>
      <c r="BZ68" s="215" t="s">
        <v>386</v>
      </c>
      <c r="CA68" s="215" t="s">
        <v>386</v>
      </c>
      <c r="CB68" s="215" t="s">
        <v>386</v>
      </c>
      <c r="CC68" s="215" t="s">
        <v>386</v>
      </c>
      <c r="CD68" s="207" t="s">
        <v>386</v>
      </c>
      <c r="CE68" s="208" t="s">
        <v>386</v>
      </c>
      <c r="CF68" s="208" t="s">
        <v>386</v>
      </c>
      <c r="CG68" s="208" t="s">
        <v>386</v>
      </c>
      <c r="CH68" s="209" t="s">
        <v>386</v>
      </c>
    </row>
    <row r="69" spans="1:86" x14ac:dyDescent="0.25">
      <c r="A69" s="107" t="s">
        <v>98</v>
      </c>
      <c r="B69" s="213">
        <v>40.799999999999997</v>
      </c>
      <c r="C69" s="214">
        <v>47.1</v>
      </c>
      <c r="D69" s="214">
        <v>46.8</v>
      </c>
      <c r="E69" s="214">
        <v>68.56</v>
      </c>
      <c r="F69" s="214">
        <v>69.959999999999994</v>
      </c>
      <c r="G69" s="213">
        <v>45.410000000000004</v>
      </c>
      <c r="H69" s="214">
        <v>46.32</v>
      </c>
      <c r="I69" s="214">
        <v>42.760000000000005</v>
      </c>
      <c r="J69" s="214">
        <v>36.980000000000004</v>
      </c>
      <c r="K69" s="217">
        <v>35.989999999999995</v>
      </c>
      <c r="L69" s="214">
        <v>187.45</v>
      </c>
      <c r="M69" s="214">
        <v>160.75</v>
      </c>
      <c r="N69" s="214">
        <v>164.62</v>
      </c>
      <c r="O69" s="214">
        <v>138.17000000000002</v>
      </c>
      <c r="P69" s="214">
        <v>141.59</v>
      </c>
      <c r="Q69" s="213">
        <v>43.2</v>
      </c>
      <c r="R69" s="214">
        <v>61</v>
      </c>
      <c r="S69" s="214">
        <v>65</v>
      </c>
      <c r="T69" s="214">
        <v>86.51</v>
      </c>
      <c r="U69" s="217">
        <v>85.65</v>
      </c>
      <c r="V69" s="214">
        <v>55.76</v>
      </c>
      <c r="W69" s="214">
        <v>50.5</v>
      </c>
      <c r="X69" s="214">
        <v>55.84</v>
      </c>
      <c r="Y69" s="214">
        <v>42.4</v>
      </c>
      <c r="Z69" s="214">
        <v>65.17</v>
      </c>
      <c r="AA69" s="207" t="s">
        <v>386</v>
      </c>
      <c r="AB69" s="208" t="s">
        <v>386</v>
      </c>
      <c r="AC69" s="208" t="s">
        <v>386</v>
      </c>
      <c r="AD69" s="208" t="s">
        <v>386</v>
      </c>
      <c r="AE69" s="208" t="s">
        <v>386</v>
      </c>
      <c r="AF69" s="229">
        <v>71</v>
      </c>
      <c r="AG69" s="220">
        <v>94</v>
      </c>
      <c r="AH69" s="220">
        <v>81.83</v>
      </c>
      <c r="AI69" s="220">
        <v>88.21</v>
      </c>
      <c r="AJ69" s="224">
        <v>79.52</v>
      </c>
      <c r="AK69" s="208" t="s">
        <v>386</v>
      </c>
      <c r="AL69" s="208" t="s">
        <v>386</v>
      </c>
      <c r="AM69" s="208" t="s">
        <v>386</v>
      </c>
      <c r="AN69" s="208" t="s">
        <v>386</v>
      </c>
      <c r="AO69" s="208" t="s">
        <v>386</v>
      </c>
      <c r="AP69" s="213">
        <v>1697</v>
      </c>
      <c r="AQ69" s="214">
        <v>2185.46</v>
      </c>
      <c r="AR69" s="214">
        <v>2593.81</v>
      </c>
      <c r="AS69" s="214">
        <v>2553.84</v>
      </c>
      <c r="AT69" s="217">
        <v>1845.18</v>
      </c>
      <c r="AU69" s="208" t="s">
        <v>386</v>
      </c>
      <c r="AV69" s="208" t="s">
        <v>386</v>
      </c>
      <c r="AW69" s="208" t="s">
        <v>386</v>
      </c>
      <c r="AX69" s="208" t="s">
        <v>386</v>
      </c>
      <c r="AY69" s="208" t="s">
        <v>386</v>
      </c>
      <c r="AZ69" s="207" t="s">
        <v>386</v>
      </c>
      <c r="BA69" s="208" t="s">
        <v>386</v>
      </c>
      <c r="BB69" s="208" t="s">
        <v>386</v>
      </c>
      <c r="BC69" s="208" t="s">
        <v>386</v>
      </c>
      <c r="BD69" s="209" t="s">
        <v>386</v>
      </c>
      <c r="BE69" s="208" t="s">
        <v>386</v>
      </c>
      <c r="BF69" s="208" t="s">
        <v>386</v>
      </c>
      <c r="BG69" s="208" t="s">
        <v>386</v>
      </c>
      <c r="BH69" s="208" t="s">
        <v>386</v>
      </c>
      <c r="BI69" s="208" t="s">
        <v>386</v>
      </c>
      <c r="BJ69" s="207" t="s">
        <v>386</v>
      </c>
      <c r="BK69" s="208" t="s">
        <v>386</v>
      </c>
      <c r="BL69" s="208" t="s">
        <v>386</v>
      </c>
      <c r="BM69" s="208" t="s">
        <v>386</v>
      </c>
      <c r="BN69" s="209" t="s">
        <v>386</v>
      </c>
      <c r="BO69" s="208" t="s">
        <v>386</v>
      </c>
      <c r="BP69" s="208" t="s">
        <v>386</v>
      </c>
      <c r="BQ69" s="208" t="s">
        <v>386</v>
      </c>
      <c r="BR69" s="208" t="s">
        <v>386</v>
      </c>
      <c r="BS69" s="209" t="s">
        <v>386</v>
      </c>
      <c r="BT69" s="215" t="s">
        <v>386</v>
      </c>
      <c r="BU69" s="215" t="s">
        <v>386</v>
      </c>
      <c r="BV69" s="215" t="s">
        <v>386</v>
      </c>
      <c r="BW69" s="215" t="s">
        <v>386</v>
      </c>
      <c r="BX69" s="406" t="s">
        <v>386</v>
      </c>
      <c r="BY69" s="215" t="s">
        <v>386</v>
      </c>
      <c r="BZ69" s="215" t="s">
        <v>386</v>
      </c>
      <c r="CA69" s="215" t="s">
        <v>386</v>
      </c>
      <c r="CB69" s="215" t="s">
        <v>386</v>
      </c>
      <c r="CC69" s="215" t="s">
        <v>386</v>
      </c>
      <c r="CD69" s="207" t="s">
        <v>386</v>
      </c>
      <c r="CE69" s="208" t="s">
        <v>386</v>
      </c>
      <c r="CF69" s="208" t="s">
        <v>386</v>
      </c>
      <c r="CG69" s="208" t="s">
        <v>386</v>
      </c>
      <c r="CH69" s="209" t="s">
        <v>386</v>
      </c>
    </row>
    <row r="70" spans="1:86" x14ac:dyDescent="0.25">
      <c r="A70" s="107" t="s">
        <v>99</v>
      </c>
      <c r="B70" s="213">
        <v>64.61</v>
      </c>
      <c r="C70" s="214">
        <v>66.740000000000009</v>
      </c>
      <c r="D70" s="214">
        <v>67.39</v>
      </c>
      <c r="E70" s="214">
        <v>69.45</v>
      </c>
      <c r="F70" s="214">
        <v>63.79</v>
      </c>
      <c r="G70" s="213">
        <v>38.03</v>
      </c>
      <c r="H70" s="214">
        <v>38.35</v>
      </c>
      <c r="I70" s="214">
        <v>47.56</v>
      </c>
      <c r="J70" s="214">
        <v>40.53</v>
      </c>
      <c r="K70" s="217">
        <v>41.279999999999994</v>
      </c>
      <c r="L70" s="214">
        <v>190.14</v>
      </c>
      <c r="M70" s="214">
        <v>162.43</v>
      </c>
      <c r="N70" s="214">
        <v>196.66</v>
      </c>
      <c r="O70" s="214">
        <v>173.4</v>
      </c>
      <c r="P70" s="214">
        <v>181.79000000000002</v>
      </c>
      <c r="Q70" s="213">
        <v>74.75</v>
      </c>
      <c r="R70" s="214">
        <v>62.85</v>
      </c>
      <c r="S70" s="214">
        <v>85.18</v>
      </c>
      <c r="T70" s="214">
        <v>80.290000000000006</v>
      </c>
      <c r="U70" s="217">
        <v>92.16</v>
      </c>
      <c r="V70" s="214">
        <v>88.8</v>
      </c>
      <c r="W70" s="214">
        <v>59.2</v>
      </c>
      <c r="X70" s="214">
        <v>58.4</v>
      </c>
      <c r="Y70" s="214">
        <v>58.02</v>
      </c>
      <c r="Z70" s="214">
        <v>116.06</v>
      </c>
      <c r="AA70" s="213">
        <v>16.3</v>
      </c>
      <c r="AB70" s="214">
        <v>18.899999999999999</v>
      </c>
      <c r="AC70" s="214">
        <v>31.94</v>
      </c>
      <c r="AD70" s="214">
        <v>20.38</v>
      </c>
      <c r="AE70" s="214">
        <v>25.02</v>
      </c>
      <c r="AF70" s="229">
        <v>71</v>
      </c>
      <c r="AG70" s="220">
        <v>94</v>
      </c>
      <c r="AH70" s="220">
        <v>81.83</v>
      </c>
      <c r="AI70" s="220">
        <v>88.21</v>
      </c>
      <c r="AJ70" s="224">
        <v>79.52</v>
      </c>
      <c r="AK70" s="208">
        <v>1411</v>
      </c>
      <c r="AL70" s="208">
        <v>1303.2</v>
      </c>
      <c r="AM70" s="208">
        <v>2097</v>
      </c>
      <c r="AN70" s="208">
        <v>2614.17</v>
      </c>
      <c r="AO70" s="208">
        <v>1973.8</v>
      </c>
      <c r="AP70" s="213">
        <v>2272.29</v>
      </c>
      <c r="AQ70" s="214">
        <v>2846.58</v>
      </c>
      <c r="AR70" s="214">
        <v>2887.42</v>
      </c>
      <c r="AS70" s="214">
        <v>2433.7599999999998</v>
      </c>
      <c r="AT70" s="217">
        <v>1716.58</v>
      </c>
      <c r="AU70" s="214">
        <v>2398</v>
      </c>
      <c r="AV70" s="214">
        <v>1520</v>
      </c>
      <c r="AW70" s="214">
        <v>2058.5</v>
      </c>
      <c r="AX70" s="214">
        <v>2300</v>
      </c>
      <c r="AY70" s="214">
        <v>2431</v>
      </c>
      <c r="AZ70" s="207" t="s">
        <v>386</v>
      </c>
      <c r="BA70" s="208" t="s">
        <v>386</v>
      </c>
      <c r="BB70" s="208" t="s">
        <v>386</v>
      </c>
      <c r="BC70" s="208" t="s">
        <v>386</v>
      </c>
      <c r="BD70" s="209" t="s">
        <v>386</v>
      </c>
      <c r="BE70" s="208" t="s">
        <v>386</v>
      </c>
      <c r="BF70" s="208" t="s">
        <v>386</v>
      </c>
      <c r="BG70" s="208" t="s">
        <v>386</v>
      </c>
      <c r="BH70" s="208" t="s">
        <v>386</v>
      </c>
      <c r="BI70" s="208" t="s">
        <v>386</v>
      </c>
      <c r="BJ70" s="207" t="s">
        <v>386</v>
      </c>
      <c r="BK70" s="208" t="s">
        <v>386</v>
      </c>
      <c r="BL70" s="208" t="s">
        <v>386</v>
      </c>
      <c r="BM70" s="208" t="s">
        <v>386</v>
      </c>
      <c r="BN70" s="209" t="s">
        <v>386</v>
      </c>
      <c r="BO70" s="208" t="s">
        <v>386</v>
      </c>
      <c r="BP70" s="208" t="s">
        <v>386</v>
      </c>
      <c r="BQ70" s="208" t="s">
        <v>386</v>
      </c>
      <c r="BR70" s="208" t="s">
        <v>386</v>
      </c>
      <c r="BS70" s="209" t="s">
        <v>386</v>
      </c>
      <c r="BT70" s="215" t="s">
        <v>386</v>
      </c>
      <c r="BU70" s="215" t="s">
        <v>386</v>
      </c>
      <c r="BV70" s="215" t="s">
        <v>386</v>
      </c>
      <c r="BW70" s="215" t="s">
        <v>386</v>
      </c>
      <c r="BX70" s="406" t="s">
        <v>386</v>
      </c>
      <c r="BY70" s="215" t="s">
        <v>386</v>
      </c>
      <c r="BZ70" s="215" t="s">
        <v>386</v>
      </c>
      <c r="CA70" s="215" t="s">
        <v>386</v>
      </c>
      <c r="CB70" s="215" t="s">
        <v>386</v>
      </c>
      <c r="CC70" s="215" t="s">
        <v>386</v>
      </c>
      <c r="CD70" s="207" t="s">
        <v>386</v>
      </c>
      <c r="CE70" s="208" t="s">
        <v>386</v>
      </c>
      <c r="CF70" s="208" t="s">
        <v>386</v>
      </c>
      <c r="CG70" s="208" t="s">
        <v>386</v>
      </c>
      <c r="CH70" s="209" t="s">
        <v>386</v>
      </c>
    </row>
    <row r="71" spans="1:86" x14ac:dyDescent="0.25">
      <c r="A71" s="107" t="s">
        <v>100</v>
      </c>
      <c r="B71" s="213">
        <v>46.64</v>
      </c>
      <c r="C71" s="214">
        <v>39.550000000000004</v>
      </c>
      <c r="D71" s="214">
        <v>51.6</v>
      </c>
      <c r="E71" s="214">
        <v>56.89</v>
      </c>
      <c r="F71" s="214">
        <v>56.27</v>
      </c>
      <c r="G71" s="213">
        <v>34.299999999999997</v>
      </c>
      <c r="H71" s="214">
        <v>25.55</v>
      </c>
      <c r="I71" s="214">
        <v>33.300000000000004</v>
      </c>
      <c r="J71" s="214">
        <v>38.65</v>
      </c>
      <c r="K71" s="217">
        <v>27.060000000000002</v>
      </c>
      <c r="L71" s="214">
        <v>123.14999999999999</v>
      </c>
      <c r="M71" s="214">
        <v>92.85</v>
      </c>
      <c r="N71" s="214">
        <v>151.30000000000001</v>
      </c>
      <c r="O71" s="214">
        <v>161.69000000000003</v>
      </c>
      <c r="P71" s="214">
        <v>136.77000000000001</v>
      </c>
      <c r="Q71" s="213">
        <v>53.6</v>
      </c>
      <c r="R71" s="214">
        <v>61</v>
      </c>
      <c r="S71" s="214">
        <v>73</v>
      </c>
      <c r="T71" s="214">
        <v>86.51</v>
      </c>
      <c r="U71" s="217">
        <v>91.42</v>
      </c>
      <c r="V71" s="214">
        <v>56.1</v>
      </c>
      <c r="W71" s="214">
        <v>56</v>
      </c>
      <c r="X71" s="214">
        <v>108.06</v>
      </c>
      <c r="Y71" s="214">
        <v>98.79</v>
      </c>
      <c r="Z71" s="214">
        <v>92.53</v>
      </c>
      <c r="AA71" s="213">
        <v>16.3</v>
      </c>
      <c r="AB71" s="214">
        <v>18.899999999999999</v>
      </c>
      <c r="AC71" s="214">
        <v>31.94</v>
      </c>
      <c r="AD71" s="214">
        <v>20.38</v>
      </c>
      <c r="AE71" s="214">
        <v>25.02</v>
      </c>
      <c r="AF71" s="229">
        <v>71</v>
      </c>
      <c r="AG71" s="220">
        <v>94</v>
      </c>
      <c r="AH71" s="220">
        <v>81.83</v>
      </c>
      <c r="AI71" s="220">
        <v>88.21</v>
      </c>
      <c r="AJ71" s="224">
        <v>79.52</v>
      </c>
      <c r="AK71" s="214">
        <v>1411</v>
      </c>
      <c r="AL71" s="214">
        <v>1362</v>
      </c>
      <c r="AM71" s="214">
        <v>2053</v>
      </c>
      <c r="AN71" s="214">
        <v>2614.17</v>
      </c>
      <c r="AO71" s="214">
        <v>1973.8</v>
      </c>
      <c r="AP71" s="213">
        <v>1727</v>
      </c>
      <c r="AQ71" s="214">
        <v>2185.46</v>
      </c>
      <c r="AR71" s="214">
        <v>2593.81</v>
      </c>
      <c r="AS71" s="214">
        <v>2553.84</v>
      </c>
      <c r="AT71" s="217">
        <v>1880.01</v>
      </c>
      <c r="AU71" s="208" t="s">
        <v>386</v>
      </c>
      <c r="AV71" s="208" t="s">
        <v>386</v>
      </c>
      <c r="AW71" s="208" t="s">
        <v>386</v>
      </c>
      <c r="AX71" s="208" t="s">
        <v>386</v>
      </c>
      <c r="AY71" s="208" t="s">
        <v>386</v>
      </c>
      <c r="AZ71" s="207" t="s">
        <v>386</v>
      </c>
      <c r="BA71" s="208" t="s">
        <v>386</v>
      </c>
      <c r="BB71" s="208" t="s">
        <v>386</v>
      </c>
      <c r="BC71" s="208" t="s">
        <v>386</v>
      </c>
      <c r="BD71" s="209" t="s">
        <v>386</v>
      </c>
      <c r="BE71" s="208" t="s">
        <v>386</v>
      </c>
      <c r="BF71" s="208" t="s">
        <v>386</v>
      </c>
      <c r="BG71" s="208" t="s">
        <v>386</v>
      </c>
      <c r="BH71" s="208" t="s">
        <v>386</v>
      </c>
      <c r="BI71" s="208" t="s">
        <v>386</v>
      </c>
      <c r="BJ71" s="207" t="s">
        <v>386</v>
      </c>
      <c r="BK71" s="208" t="s">
        <v>386</v>
      </c>
      <c r="BL71" s="208" t="s">
        <v>386</v>
      </c>
      <c r="BM71" s="208" t="s">
        <v>386</v>
      </c>
      <c r="BN71" s="209" t="s">
        <v>386</v>
      </c>
      <c r="BO71" s="208" t="s">
        <v>386</v>
      </c>
      <c r="BP71" s="208" t="s">
        <v>386</v>
      </c>
      <c r="BQ71" s="208" t="s">
        <v>386</v>
      </c>
      <c r="BR71" s="208" t="s">
        <v>386</v>
      </c>
      <c r="BS71" s="209" t="s">
        <v>386</v>
      </c>
      <c r="BT71" s="215" t="s">
        <v>386</v>
      </c>
      <c r="BU71" s="215" t="s">
        <v>386</v>
      </c>
      <c r="BV71" s="215" t="s">
        <v>386</v>
      </c>
      <c r="BW71" s="215" t="s">
        <v>386</v>
      </c>
      <c r="BX71" s="406" t="s">
        <v>386</v>
      </c>
      <c r="BY71" s="215" t="s">
        <v>386</v>
      </c>
      <c r="BZ71" s="215" t="s">
        <v>386</v>
      </c>
      <c r="CA71" s="215" t="s">
        <v>386</v>
      </c>
      <c r="CB71" s="215" t="s">
        <v>386</v>
      </c>
      <c r="CC71" s="215" t="s">
        <v>386</v>
      </c>
      <c r="CD71" s="207" t="s">
        <v>386</v>
      </c>
      <c r="CE71" s="208" t="s">
        <v>386</v>
      </c>
      <c r="CF71" s="208" t="s">
        <v>386</v>
      </c>
      <c r="CG71" s="208" t="s">
        <v>386</v>
      </c>
      <c r="CH71" s="209" t="s">
        <v>386</v>
      </c>
    </row>
    <row r="72" spans="1:86" x14ac:dyDescent="0.25">
      <c r="A72" s="107" t="s">
        <v>101</v>
      </c>
      <c r="B72" s="213">
        <v>51.650000000000006</v>
      </c>
      <c r="C72" s="214">
        <v>46.93</v>
      </c>
      <c r="D72" s="214">
        <v>63.55</v>
      </c>
      <c r="E72" s="214">
        <v>70.790000000000006</v>
      </c>
      <c r="F72" s="214">
        <v>40.590000000000003</v>
      </c>
      <c r="G72" s="213">
        <v>63.9</v>
      </c>
      <c r="H72" s="214">
        <v>60.92</v>
      </c>
      <c r="I72" s="214">
        <v>58.2</v>
      </c>
      <c r="J72" s="214">
        <v>55.24</v>
      </c>
      <c r="K72" s="217">
        <v>49.99</v>
      </c>
      <c r="L72" s="214">
        <v>225.73</v>
      </c>
      <c r="M72" s="214">
        <v>209.68</v>
      </c>
      <c r="N72" s="214">
        <v>223.57000000000002</v>
      </c>
      <c r="O72" s="214">
        <v>209.02999999999997</v>
      </c>
      <c r="P72" s="214">
        <v>180.79</v>
      </c>
      <c r="Q72" s="213">
        <v>55</v>
      </c>
      <c r="R72" s="214">
        <v>61</v>
      </c>
      <c r="S72" s="214">
        <v>73.2</v>
      </c>
      <c r="T72" s="214">
        <v>86.51</v>
      </c>
      <c r="U72" s="217">
        <v>85.65</v>
      </c>
      <c r="V72" s="214">
        <v>117.6</v>
      </c>
      <c r="W72" s="214">
        <v>91.95</v>
      </c>
      <c r="X72" s="214">
        <v>108.7</v>
      </c>
      <c r="Y72" s="214">
        <v>108.67</v>
      </c>
      <c r="Z72" s="214">
        <v>84.57</v>
      </c>
      <c r="AA72" s="207" t="s">
        <v>386</v>
      </c>
      <c r="AB72" s="208" t="s">
        <v>386</v>
      </c>
      <c r="AC72" s="208" t="s">
        <v>386</v>
      </c>
      <c r="AD72" s="208" t="s">
        <v>386</v>
      </c>
      <c r="AE72" s="208" t="s">
        <v>386</v>
      </c>
      <c r="AF72" s="362" t="s">
        <v>386</v>
      </c>
      <c r="AG72" s="363" t="s">
        <v>386</v>
      </c>
      <c r="AH72" s="363" t="s">
        <v>386</v>
      </c>
      <c r="AI72" s="363" t="s">
        <v>386</v>
      </c>
      <c r="AJ72" s="364" t="s">
        <v>386</v>
      </c>
      <c r="AK72" s="208" t="s">
        <v>386</v>
      </c>
      <c r="AL72" s="208" t="s">
        <v>386</v>
      </c>
      <c r="AM72" s="208" t="s">
        <v>386</v>
      </c>
      <c r="AN72" s="208" t="s">
        <v>386</v>
      </c>
      <c r="AO72" s="208" t="s">
        <v>386</v>
      </c>
      <c r="AP72" s="207">
        <v>1951</v>
      </c>
      <c r="AQ72" s="208">
        <v>2185.46</v>
      </c>
      <c r="AR72" s="208">
        <v>2593.81</v>
      </c>
      <c r="AS72" s="208">
        <v>2553.84</v>
      </c>
      <c r="AT72" s="209">
        <v>1845.18</v>
      </c>
      <c r="AU72" s="208" t="s">
        <v>386</v>
      </c>
      <c r="AV72" s="208" t="s">
        <v>386</v>
      </c>
      <c r="AW72" s="208" t="s">
        <v>386</v>
      </c>
      <c r="AX72" s="208" t="s">
        <v>386</v>
      </c>
      <c r="AY72" s="208" t="s">
        <v>386</v>
      </c>
      <c r="AZ72" s="207" t="s">
        <v>386</v>
      </c>
      <c r="BA72" s="208" t="s">
        <v>386</v>
      </c>
      <c r="BB72" s="208" t="s">
        <v>386</v>
      </c>
      <c r="BC72" s="208" t="s">
        <v>386</v>
      </c>
      <c r="BD72" s="209" t="s">
        <v>386</v>
      </c>
      <c r="BE72" s="208" t="s">
        <v>386</v>
      </c>
      <c r="BF72" s="208" t="s">
        <v>386</v>
      </c>
      <c r="BG72" s="208" t="s">
        <v>386</v>
      </c>
      <c r="BH72" s="208" t="s">
        <v>386</v>
      </c>
      <c r="BI72" s="208" t="s">
        <v>386</v>
      </c>
      <c r="BJ72" s="207" t="s">
        <v>386</v>
      </c>
      <c r="BK72" s="208" t="s">
        <v>386</v>
      </c>
      <c r="BL72" s="208" t="s">
        <v>386</v>
      </c>
      <c r="BM72" s="208" t="s">
        <v>386</v>
      </c>
      <c r="BN72" s="209" t="s">
        <v>386</v>
      </c>
      <c r="BO72" s="208" t="s">
        <v>386</v>
      </c>
      <c r="BP72" s="208" t="s">
        <v>386</v>
      </c>
      <c r="BQ72" s="208" t="s">
        <v>386</v>
      </c>
      <c r="BR72" s="208" t="s">
        <v>386</v>
      </c>
      <c r="BS72" s="209" t="s">
        <v>386</v>
      </c>
      <c r="BT72" s="215" t="s">
        <v>386</v>
      </c>
      <c r="BU72" s="215" t="s">
        <v>386</v>
      </c>
      <c r="BV72" s="215" t="s">
        <v>386</v>
      </c>
      <c r="BW72" s="215" t="s">
        <v>386</v>
      </c>
      <c r="BX72" s="406" t="s">
        <v>386</v>
      </c>
      <c r="BY72" s="215" t="s">
        <v>386</v>
      </c>
      <c r="BZ72" s="215" t="s">
        <v>386</v>
      </c>
      <c r="CA72" s="215" t="s">
        <v>386</v>
      </c>
      <c r="CB72" s="215" t="s">
        <v>386</v>
      </c>
      <c r="CC72" s="215" t="s">
        <v>386</v>
      </c>
      <c r="CD72" s="207" t="s">
        <v>386</v>
      </c>
      <c r="CE72" s="208" t="s">
        <v>386</v>
      </c>
      <c r="CF72" s="208" t="s">
        <v>386</v>
      </c>
      <c r="CG72" s="208" t="s">
        <v>386</v>
      </c>
      <c r="CH72" s="209" t="s">
        <v>386</v>
      </c>
    </row>
    <row r="73" spans="1:86" x14ac:dyDescent="0.25">
      <c r="A73" s="107" t="s">
        <v>102</v>
      </c>
      <c r="B73" s="213">
        <v>32.9</v>
      </c>
      <c r="C73" s="214">
        <v>47.1</v>
      </c>
      <c r="D73" s="214">
        <v>51</v>
      </c>
      <c r="E73" s="214">
        <v>68.56</v>
      </c>
      <c r="F73" s="214">
        <v>69.959999999999994</v>
      </c>
      <c r="G73" s="213">
        <v>42.44</v>
      </c>
      <c r="H73" s="214">
        <v>25.6</v>
      </c>
      <c r="I73" s="214">
        <v>33.28</v>
      </c>
      <c r="J73" s="214">
        <v>25.6</v>
      </c>
      <c r="K73" s="217">
        <v>35.29</v>
      </c>
      <c r="L73" s="214">
        <v>164.26000000000002</v>
      </c>
      <c r="M73" s="214">
        <v>140.05000000000001</v>
      </c>
      <c r="N73" s="214">
        <v>152.05999999999997</v>
      </c>
      <c r="O73" s="214">
        <v>155.63999999999999</v>
      </c>
      <c r="P73" s="214">
        <v>157.10999999999999</v>
      </c>
      <c r="Q73" s="213">
        <v>49.2</v>
      </c>
      <c r="R73" s="214">
        <v>61</v>
      </c>
      <c r="S73" s="214">
        <v>65.900000000000006</v>
      </c>
      <c r="T73" s="214">
        <v>86.51</v>
      </c>
      <c r="U73" s="217">
        <v>85.65</v>
      </c>
      <c r="V73" s="214">
        <v>37.1</v>
      </c>
      <c r="W73" s="214">
        <v>50.5</v>
      </c>
      <c r="X73" s="214">
        <v>45</v>
      </c>
      <c r="Y73" s="214">
        <v>34.4</v>
      </c>
      <c r="Z73" s="214">
        <v>62.81</v>
      </c>
      <c r="AA73" s="207">
        <v>16.3</v>
      </c>
      <c r="AB73" s="208">
        <v>18.899999999999999</v>
      </c>
      <c r="AC73" s="208">
        <v>31.94</v>
      </c>
      <c r="AD73" s="208">
        <v>20.38</v>
      </c>
      <c r="AE73" s="208">
        <v>25.02</v>
      </c>
      <c r="AF73" s="362" t="s">
        <v>386</v>
      </c>
      <c r="AG73" s="363" t="s">
        <v>386</v>
      </c>
      <c r="AH73" s="363" t="s">
        <v>386</v>
      </c>
      <c r="AI73" s="363" t="s">
        <v>386</v>
      </c>
      <c r="AJ73" s="364" t="s">
        <v>386</v>
      </c>
      <c r="AK73" s="208" t="s">
        <v>386</v>
      </c>
      <c r="AL73" s="208" t="s">
        <v>386</v>
      </c>
      <c r="AM73" s="208" t="s">
        <v>386</v>
      </c>
      <c r="AN73" s="208" t="s">
        <v>386</v>
      </c>
      <c r="AO73" s="208" t="s">
        <v>386</v>
      </c>
      <c r="AP73" s="213">
        <v>1697</v>
      </c>
      <c r="AQ73" s="214">
        <v>2185.46</v>
      </c>
      <c r="AR73" s="214">
        <v>2593.81</v>
      </c>
      <c r="AS73" s="214">
        <v>2553.84</v>
      </c>
      <c r="AT73" s="217">
        <v>1845.18</v>
      </c>
      <c r="AU73" s="208" t="s">
        <v>386</v>
      </c>
      <c r="AV73" s="208" t="s">
        <v>386</v>
      </c>
      <c r="AW73" s="208" t="s">
        <v>386</v>
      </c>
      <c r="AX73" s="208" t="s">
        <v>386</v>
      </c>
      <c r="AY73" s="208" t="s">
        <v>386</v>
      </c>
      <c r="AZ73" s="207" t="s">
        <v>386</v>
      </c>
      <c r="BA73" s="208" t="s">
        <v>386</v>
      </c>
      <c r="BB73" s="208" t="s">
        <v>386</v>
      </c>
      <c r="BC73" s="208" t="s">
        <v>386</v>
      </c>
      <c r="BD73" s="209" t="s">
        <v>386</v>
      </c>
      <c r="BE73" s="208" t="s">
        <v>386</v>
      </c>
      <c r="BF73" s="208" t="s">
        <v>386</v>
      </c>
      <c r="BG73" s="208" t="s">
        <v>386</v>
      </c>
      <c r="BH73" s="208" t="s">
        <v>386</v>
      </c>
      <c r="BI73" s="208" t="s">
        <v>386</v>
      </c>
      <c r="BJ73" s="207" t="s">
        <v>386</v>
      </c>
      <c r="BK73" s="208" t="s">
        <v>386</v>
      </c>
      <c r="BL73" s="208" t="s">
        <v>386</v>
      </c>
      <c r="BM73" s="208" t="s">
        <v>386</v>
      </c>
      <c r="BN73" s="209" t="s">
        <v>386</v>
      </c>
      <c r="BO73" s="208" t="s">
        <v>386</v>
      </c>
      <c r="BP73" s="208" t="s">
        <v>386</v>
      </c>
      <c r="BQ73" s="208" t="s">
        <v>386</v>
      </c>
      <c r="BR73" s="208" t="s">
        <v>386</v>
      </c>
      <c r="BS73" s="209" t="s">
        <v>386</v>
      </c>
      <c r="BT73" s="215" t="s">
        <v>386</v>
      </c>
      <c r="BU73" s="215" t="s">
        <v>386</v>
      </c>
      <c r="BV73" s="215" t="s">
        <v>386</v>
      </c>
      <c r="BW73" s="215" t="s">
        <v>386</v>
      </c>
      <c r="BX73" s="406" t="s">
        <v>386</v>
      </c>
      <c r="BY73" s="215" t="s">
        <v>386</v>
      </c>
      <c r="BZ73" s="215" t="s">
        <v>386</v>
      </c>
      <c r="CA73" s="215" t="s">
        <v>386</v>
      </c>
      <c r="CB73" s="215" t="s">
        <v>386</v>
      </c>
      <c r="CC73" s="215" t="s">
        <v>386</v>
      </c>
      <c r="CD73" s="207" t="s">
        <v>386</v>
      </c>
      <c r="CE73" s="208" t="s">
        <v>386</v>
      </c>
      <c r="CF73" s="208" t="s">
        <v>386</v>
      </c>
      <c r="CG73" s="208" t="s">
        <v>386</v>
      </c>
      <c r="CH73" s="209" t="s">
        <v>386</v>
      </c>
    </row>
    <row r="74" spans="1:86" x14ac:dyDescent="0.25">
      <c r="A74" s="107" t="s">
        <v>103</v>
      </c>
      <c r="B74" s="213">
        <v>51.78</v>
      </c>
      <c r="C74" s="214">
        <v>35.200000000000003</v>
      </c>
      <c r="D74" s="214">
        <v>35.200000000000003</v>
      </c>
      <c r="E74" s="214">
        <v>33.6</v>
      </c>
      <c r="F74" s="214">
        <v>32</v>
      </c>
      <c r="G74" s="213">
        <v>54.67</v>
      </c>
      <c r="H74" s="214">
        <v>49.82</v>
      </c>
      <c r="I74" s="214">
        <v>48.930000000000007</v>
      </c>
      <c r="J74" s="214">
        <v>46.55</v>
      </c>
      <c r="K74" s="217">
        <v>52.46</v>
      </c>
      <c r="L74" s="214">
        <v>209.04000000000002</v>
      </c>
      <c r="M74" s="214">
        <v>163.09</v>
      </c>
      <c r="N74" s="214">
        <v>173.17000000000002</v>
      </c>
      <c r="O74" s="214">
        <v>175.82999999999998</v>
      </c>
      <c r="P74" s="214">
        <v>179.35</v>
      </c>
      <c r="Q74" s="213">
        <v>55</v>
      </c>
      <c r="R74" s="214">
        <v>61</v>
      </c>
      <c r="S74" s="214">
        <v>73.2</v>
      </c>
      <c r="T74" s="214">
        <v>86.51</v>
      </c>
      <c r="U74" s="217">
        <v>85.65</v>
      </c>
      <c r="V74" s="214">
        <v>61.85</v>
      </c>
      <c r="W74" s="214">
        <v>67</v>
      </c>
      <c r="X74" s="214">
        <v>64.8</v>
      </c>
      <c r="Y74" s="214">
        <v>88.06</v>
      </c>
      <c r="Z74" s="214">
        <v>90.33</v>
      </c>
      <c r="AA74" s="207" t="s">
        <v>386</v>
      </c>
      <c r="AB74" s="208" t="s">
        <v>386</v>
      </c>
      <c r="AC74" s="208" t="s">
        <v>386</v>
      </c>
      <c r="AD74" s="208" t="s">
        <v>386</v>
      </c>
      <c r="AE74" s="208" t="s">
        <v>386</v>
      </c>
      <c r="AF74" s="229" t="s">
        <v>386</v>
      </c>
      <c r="AG74" s="220" t="s">
        <v>386</v>
      </c>
      <c r="AH74" s="220" t="s">
        <v>386</v>
      </c>
      <c r="AI74" s="220" t="s">
        <v>386</v>
      </c>
      <c r="AJ74" s="224" t="s">
        <v>386</v>
      </c>
      <c r="AK74" s="208" t="s">
        <v>386</v>
      </c>
      <c r="AL74" s="208" t="s">
        <v>386</v>
      </c>
      <c r="AM74" s="208" t="s">
        <v>386</v>
      </c>
      <c r="AN74" s="208" t="s">
        <v>386</v>
      </c>
      <c r="AO74" s="208" t="s">
        <v>386</v>
      </c>
      <c r="AP74" s="207" t="s">
        <v>386</v>
      </c>
      <c r="AQ74" s="208" t="s">
        <v>386</v>
      </c>
      <c r="AR74" s="208" t="s">
        <v>386</v>
      </c>
      <c r="AS74" s="208" t="s">
        <v>386</v>
      </c>
      <c r="AT74" s="209" t="s">
        <v>386</v>
      </c>
      <c r="AU74" s="208" t="s">
        <v>386</v>
      </c>
      <c r="AV74" s="208" t="s">
        <v>386</v>
      </c>
      <c r="AW74" s="208" t="s">
        <v>386</v>
      </c>
      <c r="AX74" s="208" t="s">
        <v>386</v>
      </c>
      <c r="AY74" s="208" t="s">
        <v>386</v>
      </c>
      <c r="AZ74" s="207" t="s">
        <v>386</v>
      </c>
      <c r="BA74" s="208" t="s">
        <v>386</v>
      </c>
      <c r="BB74" s="208" t="s">
        <v>386</v>
      </c>
      <c r="BC74" s="208" t="s">
        <v>386</v>
      </c>
      <c r="BD74" s="209" t="s">
        <v>386</v>
      </c>
      <c r="BE74" s="208" t="s">
        <v>386</v>
      </c>
      <c r="BF74" s="208" t="s">
        <v>386</v>
      </c>
      <c r="BG74" s="208" t="s">
        <v>386</v>
      </c>
      <c r="BH74" s="208" t="s">
        <v>386</v>
      </c>
      <c r="BI74" s="208" t="s">
        <v>386</v>
      </c>
      <c r="BJ74" s="207" t="s">
        <v>386</v>
      </c>
      <c r="BK74" s="208" t="s">
        <v>386</v>
      </c>
      <c r="BL74" s="208" t="s">
        <v>386</v>
      </c>
      <c r="BM74" s="208" t="s">
        <v>386</v>
      </c>
      <c r="BN74" s="209" t="s">
        <v>386</v>
      </c>
      <c r="BO74" s="208" t="s">
        <v>386</v>
      </c>
      <c r="BP74" s="208" t="s">
        <v>386</v>
      </c>
      <c r="BQ74" s="208" t="s">
        <v>386</v>
      </c>
      <c r="BR74" s="208" t="s">
        <v>386</v>
      </c>
      <c r="BS74" s="209" t="s">
        <v>386</v>
      </c>
      <c r="BT74" s="215" t="s">
        <v>386</v>
      </c>
      <c r="BU74" s="215" t="s">
        <v>386</v>
      </c>
      <c r="BV74" s="215" t="s">
        <v>386</v>
      </c>
      <c r="BW74" s="215" t="s">
        <v>386</v>
      </c>
      <c r="BX74" s="406" t="s">
        <v>386</v>
      </c>
      <c r="BY74" s="215" t="s">
        <v>386</v>
      </c>
      <c r="BZ74" s="215" t="s">
        <v>386</v>
      </c>
      <c r="CA74" s="215" t="s">
        <v>386</v>
      </c>
      <c r="CB74" s="215" t="s">
        <v>386</v>
      </c>
      <c r="CC74" s="215" t="s">
        <v>386</v>
      </c>
      <c r="CD74" s="207" t="s">
        <v>386</v>
      </c>
      <c r="CE74" s="208" t="s">
        <v>386</v>
      </c>
      <c r="CF74" s="208" t="s">
        <v>386</v>
      </c>
      <c r="CG74" s="208" t="s">
        <v>386</v>
      </c>
      <c r="CH74" s="209" t="s">
        <v>386</v>
      </c>
    </row>
    <row r="75" spans="1:86" x14ac:dyDescent="0.25">
      <c r="A75" s="107" t="s">
        <v>104</v>
      </c>
      <c r="B75" s="213">
        <v>45.5</v>
      </c>
      <c r="C75" s="214">
        <v>47.1</v>
      </c>
      <c r="D75" s="214">
        <v>45.9</v>
      </c>
      <c r="E75" s="214">
        <v>68.56</v>
      </c>
      <c r="F75" s="214">
        <v>37.6</v>
      </c>
      <c r="G75" s="213">
        <v>65.679999999999993</v>
      </c>
      <c r="H75" s="214">
        <v>66.06</v>
      </c>
      <c r="I75" s="214">
        <v>64</v>
      </c>
      <c r="J75" s="214">
        <v>50.72</v>
      </c>
      <c r="K75" s="217">
        <v>58.4</v>
      </c>
      <c r="L75" s="214" t="s">
        <v>386</v>
      </c>
      <c r="M75" s="214" t="s">
        <v>386</v>
      </c>
      <c r="N75" s="214" t="s">
        <v>386</v>
      </c>
      <c r="O75" s="214" t="s">
        <v>386</v>
      </c>
      <c r="P75" s="214" t="s">
        <v>386</v>
      </c>
      <c r="Q75" s="213">
        <v>55</v>
      </c>
      <c r="R75" s="214">
        <v>61</v>
      </c>
      <c r="S75" s="214">
        <v>73.2</v>
      </c>
      <c r="T75" s="214">
        <v>86.51</v>
      </c>
      <c r="U75" s="217">
        <v>85.65</v>
      </c>
      <c r="V75" s="214">
        <v>66.900000000000006</v>
      </c>
      <c r="W75" s="214">
        <v>80</v>
      </c>
      <c r="X75" s="214">
        <v>78.5</v>
      </c>
      <c r="Y75" s="214">
        <v>75.400000000000006</v>
      </c>
      <c r="Z75" s="214">
        <v>90.33</v>
      </c>
      <c r="AA75" s="207" t="s">
        <v>386</v>
      </c>
      <c r="AB75" s="208" t="s">
        <v>386</v>
      </c>
      <c r="AC75" s="208" t="s">
        <v>386</v>
      </c>
      <c r="AD75" s="208" t="s">
        <v>386</v>
      </c>
      <c r="AE75" s="208" t="s">
        <v>386</v>
      </c>
      <c r="AF75" s="229">
        <v>71</v>
      </c>
      <c r="AG75" s="220">
        <v>94</v>
      </c>
      <c r="AH75" s="220">
        <v>81.83</v>
      </c>
      <c r="AI75" s="220">
        <v>88.21</v>
      </c>
      <c r="AJ75" s="224">
        <v>79.52</v>
      </c>
      <c r="AK75" s="208" t="s">
        <v>386</v>
      </c>
      <c r="AL75" s="208" t="s">
        <v>386</v>
      </c>
      <c r="AM75" s="208" t="s">
        <v>386</v>
      </c>
      <c r="AN75" s="208" t="s">
        <v>386</v>
      </c>
      <c r="AO75" s="208" t="s">
        <v>386</v>
      </c>
      <c r="AP75" s="213" t="s">
        <v>386</v>
      </c>
      <c r="AQ75" s="214" t="s">
        <v>386</v>
      </c>
      <c r="AR75" s="214" t="s">
        <v>386</v>
      </c>
      <c r="AS75" s="214" t="s">
        <v>386</v>
      </c>
      <c r="AT75" s="217" t="s">
        <v>386</v>
      </c>
      <c r="AU75" s="208" t="s">
        <v>386</v>
      </c>
      <c r="AV75" s="208" t="s">
        <v>386</v>
      </c>
      <c r="AW75" s="208" t="s">
        <v>386</v>
      </c>
      <c r="AX75" s="208" t="s">
        <v>386</v>
      </c>
      <c r="AY75" s="208" t="s">
        <v>386</v>
      </c>
      <c r="AZ75" s="207" t="s">
        <v>386</v>
      </c>
      <c r="BA75" s="208" t="s">
        <v>386</v>
      </c>
      <c r="BB75" s="208" t="s">
        <v>386</v>
      </c>
      <c r="BC75" s="208" t="s">
        <v>386</v>
      </c>
      <c r="BD75" s="209" t="s">
        <v>386</v>
      </c>
      <c r="BE75" s="208" t="s">
        <v>386</v>
      </c>
      <c r="BF75" s="208" t="s">
        <v>386</v>
      </c>
      <c r="BG75" s="208" t="s">
        <v>386</v>
      </c>
      <c r="BH75" s="208" t="s">
        <v>386</v>
      </c>
      <c r="BI75" s="208" t="s">
        <v>386</v>
      </c>
      <c r="BJ75" s="207" t="s">
        <v>386</v>
      </c>
      <c r="BK75" s="208" t="s">
        <v>386</v>
      </c>
      <c r="BL75" s="208" t="s">
        <v>386</v>
      </c>
      <c r="BM75" s="208" t="s">
        <v>386</v>
      </c>
      <c r="BN75" s="209" t="s">
        <v>386</v>
      </c>
      <c r="BO75" s="208" t="s">
        <v>386</v>
      </c>
      <c r="BP75" s="208" t="s">
        <v>386</v>
      </c>
      <c r="BQ75" s="208" t="s">
        <v>386</v>
      </c>
      <c r="BR75" s="208" t="s">
        <v>386</v>
      </c>
      <c r="BS75" s="209" t="s">
        <v>386</v>
      </c>
      <c r="BT75" s="215" t="s">
        <v>386</v>
      </c>
      <c r="BU75" s="215" t="s">
        <v>386</v>
      </c>
      <c r="BV75" s="215" t="s">
        <v>386</v>
      </c>
      <c r="BW75" s="215" t="s">
        <v>386</v>
      </c>
      <c r="BX75" s="406" t="s">
        <v>386</v>
      </c>
      <c r="BY75" s="215" t="s">
        <v>386</v>
      </c>
      <c r="BZ75" s="215" t="s">
        <v>386</v>
      </c>
      <c r="CA75" s="215" t="s">
        <v>386</v>
      </c>
      <c r="CB75" s="215" t="s">
        <v>386</v>
      </c>
      <c r="CC75" s="215" t="s">
        <v>386</v>
      </c>
      <c r="CD75" s="207" t="s">
        <v>386</v>
      </c>
      <c r="CE75" s="208" t="s">
        <v>386</v>
      </c>
      <c r="CF75" s="208" t="s">
        <v>386</v>
      </c>
      <c r="CG75" s="208" t="s">
        <v>386</v>
      </c>
      <c r="CH75" s="209" t="s">
        <v>386</v>
      </c>
    </row>
    <row r="76" spans="1:86" x14ac:dyDescent="0.25">
      <c r="A76" s="107" t="s">
        <v>173</v>
      </c>
      <c r="B76" s="213">
        <v>45.03</v>
      </c>
      <c r="C76" s="214">
        <v>41.82</v>
      </c>
      <c r="D76" s="214">
        <v>47.12</v>
      </c>
      <c r="E76" s="214">
        <v>53.29</v>
      </c>
      <c r="F76" s="214">
        <v>53.589999999999996</v>
      </c>
      <c r="G76" s="213">
        <v>48.760000000000005</v>
      </c>
      <c r="H76" s="214">
        <v>39.879999999999995</v>
      </c>
      <c r="I76" s="214">
        <v>44.79</v>
      </c>
      <c r="J76" s="214">
        <v>45.309999999999995</v>
      </c>
      <c r="K76" s="217">
        <v>42.86</v>
      </c>
      <c r="L76" s="214">
        <v>203.95</v>
      </c>
      <c r="M76" s="214">
        <v>144.49</v>
      </c>
      <c r="N76" s="214">
        <v>187.6</v>
      </c>
      <c r="O76" s="214">
        <v>187.33</v>
      </c>
      <c r="P76" s="214">
        <v>179.9</v>
      </c>
      <c r="Q76" s="213">
        <v>72.92</v>
      </c>
      <c r="R76" s="214">
        <v>62.85</v>
      </c>
      <c r="S76" s="214">
        <v>53.58</v>
      </c>
      <c r="T76" s="214">
        <v>87.62</v>
      </c>
      <c r="U76" s="217">
        <v>61.74</v>
      </c>
      <c r="V76" s="214">
        <v>55.89</v>
      </c>
      <c r="W76" s="214">
        <v>52.8</v>
      </c>
      <c r="X76" s="214">
        <v>53.6</v>
      </c>
      <c r="Y76" s="214">
        <v>58.74</v>
      </c>
      <c r="Z76" s="214">
        <v>56.1</v>
      </c>
      <c r="AA76" s="213">
        <v>16.3</v>
      </c>
      <c r="AB76" s="214">
        <v>18.899999999999999</v>
      </c>
      <c r="AC76" s="214">
        <v>31.94</v>
      </c>
      <c r="AD76" s="214">
        <v>20.38</v>
      </c>
      <c r="AE76" s="214">
        <v>25.02</v>
      </c>
      <c r="AF76" s="229">
        <v>71</v>
      </c>
      <c r="AG76" s="220">
        <v>94</v>
      </c>
      <c r="AH76" s="220">
        <v>81.83</v>
      </c>
      <c r="AI76" s="220">
        <v>88.21</v>
      </c>
      <c r="AJ76" s="224">
        <v>79.52</v>
      </c>
      <c r="AK76" s="214">
        <v>1411</v>
      </c>
      <c r="AL76" s="214">
        <v>1362</v>
      </c>
      <c r="AM76" s="214">
        <v>2389</v>
      </c>
      <c r="AN76" s="214">
        <v>2614.17</v>
      </c>
      <c r="AO76" s="214">
        <v>1573.15</v>
      </c>
      <c r="AP76" s="213">
        <v>2052</v>
      </c>
      <c r="AQ76" s="214">
        <v>2185.46</v>
      </c>
      <c r="AR76" s="214">
        <v>2593.81</v>
      </c>
      <c r="AS76" s="214">
        <v>2553.84</v>
      </c>
      <c r="AT76" s="217">
        <v>1845.18</v>
      </c>
      <c r="AU76" s="214">
        <v>2398</v>
      </c>
      <c r="AV76" s="214">
        <v>1520</v>
      </c>
      <c r="AW76" s="214">
        <v>2058.5</v>
      </c>
      <c r="AX76" s="214">
        <v>2300</v>
      </c>
      <c r="AY76" s="214">
        <v>2431</v>
      </c>
      <c r="AZ76" s="207" t="s">
        <v>386</v>
      </c>
      <c r="BA76" s="208" t="s">
        <v>386</v>
      </c>
      <c r="BB76" s="208" t="s">
        <v>386</v>
      </c>
      <c r="BC76" s="208" t="s">
        <v>386</v>
      </c>
      <c r="BD76" s="209" t="s">
        <v>386</v>
      </c>
      <c r="BE76" s="208" t="s">
        <v>386</v>
      </c>
      <c r="BF76" s="208" t="s">
        <v>386</v>
      </c>
      <c r="BG76" s="208" t="s">
        <v>386</v>
      </c>
      <c r="BH76" s="208" t="s">
        <v>386</v>
      </c>
      <c r="BI76" s="208" t="s">
        <v>386</v>
      </c>
      <c r="BJ76" s="207" t="s">
        <v>386</v>
      </c>
      <c r="BK76" s="208" t="s">
        <v>386</v>
      </c>
      <c r="BL76" s="208" t="s">
        <v>386</v>
      </c>
      <c r="BM76" s="208" t="s">
        <v>386</v>
      </c>
      <c r="BN76" s="209" t="s">
        <v>386</v>
      </c>
      <c r="BO76" s="208" t="s">
        <v>386</v>
      </c>
      <c r="BP76" s="208" t="s">
        <v>386</v>
      </c>
      <c r="BQ76" s="208" t="s">
        <v>386</v>
      </c>
      <c r="BR76" s="208" t="s">
        <v>386</v>
      </c>
      <c r="BS76" s="209" t="s">
        <v>386</v>
      </c>
      <c r="BT76" s="215" t="s">
        <v>386</v>
      </c>
      <c r="BU76" s="215" t="s">
        <v>386</v>
      </c>
      <c r="BV76" s="215" t="s">
        <v>386</v>
      </c>
      <c r="BW76" s="215" t="s">
        <v>386</v>
      </c>
      <c r="BX76" s="406" t="s">
        <v>386</v>
      </c>
      <c r="BY76" s="215" t="s">
        <v>386</v>
      </c>
      <c r="BZ76" s="215" t="s">
        <v>386</v>
      </c>
      <c r="CA76" s="215" t="s">
        <v>386</v>
      </c>
      <c r="CB76" s="215" t="s">
        <v>386</v>
      </c>
      <c r="CC76" s="215" t="s">
        <v>386</v>
      </c>
      <c r="CD76" s="207" t="s">
        <v>386</v>
      </c>
      <c r="CE76" s="208" t="s">
        <v>386</v>
      </c>
      <c r="CF76" s="208" t="s">
        <v>386</v>
      </c>
      <c r="CG76" s="208" t="s">
        <v>386</v>
      </c>
      <c r="CH76" s="209" t="s">
        <v>386</v>
      </c>
    </row>
    <row r="77" spans="1:86" x14ac:dyDescent="0.25">
      <c r="A77" s="107" t="s">
        <v>105</v>
      </c>
      <c r="B77" s="213">
        <v>52.08</v>
      </c>
      <c r="C77" s="214">
        <v>45.779999999999994</v>
      </c>
      <c r="D77" s="214">
        <v>51.34</v>
      </c>
      <c r="E77" s="214">
        <v>46.519999999999996</v>
      </c>
      <c r="F77" s="214">
        <v>48.09</v>
      </c>
      <c r="G77" s="213">
        <v>46.04</v>
      </c>
      <c r="H77" s="214">
        <v>33.85</v>
      </c>
      <c r="I77" s="214">
        <v>42.709999999999994</v>
      </c>
      <c r="J77" s="214">
        <v>39.380000000000003</v>
      </c>
      <c r="K77" s="217">
        <v>40.830000000000005</v>
      </c>
      <c r="L77" s="214">
        <v>185.65</v>
      </c>
      <c r="M77" s="214">
        <v>134.05000000000001</v>
      </c>
      <c r="N77" s="214">
        <v>173.75</v>
      </c>
      <c r="O77" s="214">
        <v>158.88999999999999</v>
      </c>
      <c r="P77" s="214">
        <v>176.03</v>
      </c>
      <c r="Q77" s="213">
        <v>57.96</v>
      </c>
      <c r="R77" s="214">
        <v>62.6</v>
      </c>
      <c r="S77" s="214">
        <v>54.08</v>
      </c>
      <c r="T77" s="214">
        <v>58.49</v>
      </c>
      <c r="U77" s="217">
        <v>61.64</v>
      </c>
      <c r="V77" s="214">
        <v>56.36</v>
      </c>
      <c r="W77" s="214">
        <v>43.2</v>
      </c>
      <c r="X77" s="214">
        <v>56.71</v>
      </c>
      <c r="Y77" s="214">
        <v>43.2</v>
      </c>
      <c r="Z77" s="214">
        <v>58.85</v>
      </c>
      <c r="AA77" s="213">
        <v>16.3</v>
      </c>
      <c r="AB77" s="214">
        <v>18.899999999999999</v>
      </c>
      <c r="AC77" s="214">
        <v>31.94</v>
      </c>
      <c r="AD77" s="214">
        <v>20.38</v>
      </c>
      <c r="AE77" s="214">
        <v>25.02</v>
      </c>
      <c r="AF77" s="229">
        <v>71</v>
      </c>
      <c r="AG77" s="220">
        <v>94</v>
      </c>
      <c r="AH77" s="220">
        <v>81.83</v>
      </c>
      <c r="AI77" s="220">
        <v>88.21</v>
      </c>
      <c r="AJ77" s="224">
        <v>79.52</v>
      </c>
      <c r="AK77" s="214">
        <v>1411</v>
      </c>
      <c r="AL77" s="214">
        <v>1362</v>
      </c>
      <c r="AM77" s="214">
        <v>2071</v>
      </c>
      <c r="AN77" s="214">
        <v>2614.17</v>
      </c>
      <c r="AO77" s="214">
        <v>1573.15</v>
      </c>
      <c r="AP77" s="213">
        <v>2114.3500000000004</v>
      </c>
      <c r="AQ77" s="214">
        <v>2228.61</v>
      </c>
      <c r="AR77" s="214">
        <v>2635.09</v>
      </c>
      <c r="AS77" s="214">
        <v>2354.54</v>
      </c>
      <c r="AT77" s="217">
        <v>1365.26</v>
      </c>
      <c r="AU77" s="214">
        <v>2398</v>
      </c>
      <c r="AV77" s="214">
        <v>1520</v>
      </c>
      <c r="AW77" s="214">
        <v>2058.5</v>
      </c>
      <c r="AX77" s="214">
        <v>2300</v>
      </c>
      <c r="AY77" s="214">
        <v>2431</v>
      </c>
      <c r="AZ77" s="207" t="s">
        <v>386</v>
      </c>
      <c r="BA77" s="208" t="s">
        <v>386</v>
      </c>
      <c r="BB77" s="208" t="s">
        <v>386</v>
      </c>
      <c r="BC77" s="208" t="s">
        <v>386</v>
      </c>
      <c r="BD77" s="209" t="s">
        <v>386</v>
      </c>
      <c r="BE77" s="208" t="s">
        <v>386</v>
      </c>
      <c r="BF77" s="208" t="s">
        <v>386</v>
      </c>
      <c r="BG77" s="208" t="s">
        <v>386</v>
      </c>
      <c r="BH77" s="208" t="s">
        <v>386</v>
      </c>
      <c r="BI77" s="208" t="s">
        <v>386</v>
      </c>
      <c r="BJ77" s="207" t="s">
        <v>386</v>
      </c>
      <c r="BK77" s="208" t="s">
        <v>386</v>
      </c>
      <c r="BL77" s="208" t="s">
        <v>386</v>
      </c>
      <c r="BM77" s="208" t="s">
        <v>386</v>
      </c>
      <c r="BN77" s="209" t="s">
        <v>386</v>
      </c>
      <c r="BO77" s="208" t="s">
        <v>386</v>
      </c>
      <c r="BP77" s="208" t="s">
        <v>386</v>
      </c>
      <c r="BQ77" s="208" t="s">
        <v>386</v>
      </c>
      <c r="BR77" s="208" t="s">
        <v>386</v>
      </c>
      <c r="BS77" s="209" t="s">
        <v>386</v>
      </c>
      <c r="BT77" s="215" t="s">
        <v>386</v>
      </c>
      <c r="BU77" s="215" t="s">
        <v>386</v>
      </c>
      <c r="BV77" s="215" t="s">
        <v>386</v>
      </c>
      <c r="BW77" s="215" t="s">
        <v>386</v>
      </c>
      <c r="BX77" s="406" t="s">
        <v>386</v>
      </c>
      <c r="BY77" s="215" t="s">
        <v>386</v>
      </c>
      <c r="BZ77" s="215" t="s">
        <v>386</v>
      </c>
      <c r="CA77" s="215" t="s">
        <v>386</v>
      </c>
      <c r="CB77" s="215" t="s">
        <v>386</v>
      </c>
      <c r="CC77" s="215" t="s">
        <v>386</v>
      </c>
      <c r="CD77" s="207" t="s">
        <v>386</v>
      </c>
      <c r="CE77" s="208" t="s">
        <v>386</v>
      </c>
      <c r="CF77" s="208" t="s">
        <v>386</v>
      </c>
      <c r="CG77" s="208" t="s">
        <v>386</v>
      </c>
      <c r="CH77" s="209" t="s">
        <v>386</v>
      </c>
    </row>
    <row r="78" spans="1:86" x14ac:dyDescent="0.25">
      <c r="A78" s="107" t="s">
        <v>106</v>
      </c>
      <c r="B78" s="213">
        <v>65.260000000000005</v>
      </c>
      <c r="C78" s="214">
        <v>70.8</v>
      </c>
      <c r="D78" s="214">
        <v>75.16</v>
      </c>
      <c r="E78" s="214">
        <v>72.77000000000001</v>
      </c>
      <c r="F78" s="214">
        <v>65.53</v>
      </c>
      <c r="G78" s="213">
        <v>40.520000000000003</v>
      </c>
      <c r="H78" s="214">
        <v>32.75</v>
      </c>
      <c r="I78" s="214">
        <v>42.24</v>
      </c>
      <c r="J78" s="214">
        <v>43.529999999999994</v>
      </c>
      <c r="K78" s="217">
        <v>43.68</v>
      </c>
      <c r="L78" s="214">
        <v>155.88</v>
      </c>
      <c r="M78" s="214">
        <v>126.75</v>
      </c>
      <c r="N78" s="214">
        <v>171.46</v>
      </c>
      <c r="O78" s="214">
        <v>177.01</v>
      </c>
      <c r="P78" s="214">
        <v>181.63</v>
      </c>
      <c r="Q78" s="213">
        <v>65.78</v>
      </c>
      <c r="R78" s="214">
        <v>65.350000000000009</v>
      </c>
      <c r="S78" s="214">
        <v>76.33</v>
      </c>
      <c r="T78" s="214">
        <v>75.960000000000008</v>
      </c>
      <c r="U78" s="217">
        <v>91.25</v>
      </c>
      <c r="V78" s="214">
        <v>84.57</v>
      </c>
      <c r="W78" s="214">
        <v>61.83</v>
      </c>
      <c r="X78" s="214">
        <v>85.94</v>
      </c>
      <c r="Y78" s="214">
        <v>100.98</v>
      </c>
      <c r="Z78" s="214">
        <v>86.29</v>
      </c>
      <c r="AA78" s="213">
        <v>16.3</v>
      </c>
      <c r="AB78" s="214">
        <v>18.899999999999999</v>
      </c>
      <c r="AC78" s="214">
        <v>31.94</v>
      </c>
      <c r="AD78" s="214">
        <v>20.38</v>
      </c>
      <c r="AE78" s="214">
        <v>25.02</v>
      </c>
      <c r="AF78" s="362" t="s">
        <v>386</v>
      </c>
      <c r="AG78" s="363" t="s">
        <v>386</v>
      </c>
      <c r="AH78" s="363" t="s">
        <v>386</v>
      </c>
      <c r="AI78" s="363" t="s">
        <v>386</v>
      </c>
      <c r="AJ78" s="364" t="s">
        <v>386</v>
      </c>
      <c r="AK78" s="214">
        <v>1411</v>
      </c>
      <c r="AL78" s="214">
        <v>1362</v>
      </c>
      <c r="AM78" s="214">
        <v>2087</v>
      </c>
      <c r="AN78" s="214">
        <v>2614.17</v>
      </c>
      <c r="AO78" s="214">
        <v>1937.1</v>
      </c>
      <c r="AP78" s="213">
        <v>1746.1599999999999</v>
      </c>
      <c r="AQ78" s="214">
        <v>2170.71</v>
      </c>
      <c r="AR78" s="214">
        <v>2559.9</v>
      </c>
      <c r="AS78" s="214">
        <v>2743.94</v>
      </c>
      <c r="AT78" s="217">
        <v>2226.3799999999997</v>
      </c>
      <c r="AU78" s="214">
        <v>2398</v>
      </c>
      <c r="AV78" s="214">
        <v>1520</v>
      </c>
      <c r="AW78" s="214">
        <v>2058.5</v>
      </c>
      <c r="AX78" s="214">
        <v>2300</v>
      </c>
      <c r="AY78" s="214">
        <v>2431</v>
      </c>
      <c r="AZ78" s="207" t="s">
        <v>386</v>
      </c>
      <c r="BA78" s="208" t="s">
        <v>386</v>
      </c>
      <c r="BB78" s="208" t="s">
        <v>386</v>
      </c>
      <c r="BC78" s="208" t="s">
        <v>386</v>
      </c>
      <c r="BD78" s="209" t="s">
        <v>386</v>
      </c>
      <c r="BE78" s="208" t="s">
        <v>386</v>
      </c>
      <c r="BF78" s="208" t="s">
        <v>386</v>
      </c>
      <c r="BG78" s="208" t="s">
        <v>386</v>
      </c>
      <c r="BH78" s="208" t="s">
        <v>386</v>
      </c>
      <c r="BI78" s="208" t="s">
        <v>386</v>
      </c>
      <c r="BJ78" s="207" t="s">
        <v>386</v>
      </c>
      <c r="BK78" s="208" t="s">
        <v>386</v>
      </c>
      <c r="BL78" s="208" t="s">
        <v>386</v>
      </c>
      <c r="BM78" s="208" t="s">
        <v>386</v>
      </c>
      <c r="BN78" s="209" t="s">
        <v>386</v>
      </c>
      <c r="BO78" s="208" t="s">
        <v>386</v>
      </c>
      <c r="BP78" s="208" t="s">
        <v>386</v>
      </c>
      <c r="BQ78" s="208" t="s">
        <v>386</v>
      </c>
      <c r="BR78" s="208" t="s">
        <v>386</v>
      </c>
      <c r="BS78" s="209" t="s">
        <v>386</v>
      </c>
      <c r="BT78" s="215" t="s">
        <v>386</v>
      </c>
      <c r="BU78" s="215" t="s">
        <v>386</v>
      </c>
      <c r="BV78" s="215" t="s">
        <v>386</v>
      </c>
      <c r="BW78" s="215" t="s">
        <v>386</v>
      </c>
      <c r="BX78" s="406" t="s">
        <v>386</v>
      </c>
      <c r="BY78" s="215" t="s">
        <v>386</v>
      </c>
      <c r="BZ78" s="215" t="s">
        <v>386</v>
      </c>
      <c r="CA78" s="215" t="s">
        <v>386</v>
      </c>
      <c r="CB78" s="215" t="s">
        <v>386</v>
      </c>
      <c r="CC78" s="215" t="s">
        <v>386</v>
      </c>
      <c r="CD78" s="207" t="s">
        <v>386</v>
      </c>
      <c r="CE78" s="208" t="s">
        <v>386</v>
      </c>
      <c r="CF78" s="208" t="s">
        <v>386</v>
      </c>
      <c r="CG78" s="208" t="s">
        <v>386</v>
      </c>
      <c r="CH78" s="209" t="s">
        <v>386</v>
      </c>
    </row>
    <row r="79" spans="1:86" x14ac:dyDescent="0.25">
      <c r="A79" s="107" t="s">
        <v>107</v>
      </c>
      <c r="B79" s="213">
        <v>48.1</v>
      </c>
      <c r="C79" s="214">
        <v>47.1</v>
      </c>
      <c r="D79" s="214">
        <v>52.3</v>
      </c>
      <c r="E79" s="214">
        <v>68.56</v>
      </c>
      <c r="F79" s="214">
        <v>41.51</v>
      </c>
      <c r="G79" s="213">
        <v>69.86</v>
      </c>
      <c r="H79" s="214">
        <v>66.53</v>
      </c>
      <c r="I79" s="214">
        <v>67.009999999999991</v>
      </c>
      <c r="J79" s="214">
        <v>61.94</v>
      </c>
      <c r="K79" s="217">
        <v>50.98</v>
      </c>
      <c r="L79" s="214">
        <v>229.98</v>
      </c>
      <c r="M79" s="214">
        <v>221.82000000000002</v>
      </c>
      <c r="N79" s="214">
        <v>234.5</v>
      </c>
      <c r="O79" s="214">
        <v>216.72</v>
      </c>
      <c r="P79" s="214">
        <v>164.53</v>
      </c>
      <c r="Q79" s="213">
        <v>55</v>
      </c>
      <c r="R79" s="214">
        <v>61</v>
      </c>
      <c r="S79" s="214">
        <v>73.2</v>
      </c>
      <c r="T79" s="214">
        <v>86.51</v>
      </c>
      <c r="U79" s="217">
        <v>85.65</v>
      </c>
      <c r="V79" s="214">
        <v>90.4</v>
      </c>
      <c r="W79" s="214">
        <v>99.19</v>
      </c>
      <c r="X79" s="214">
        <v>124.44</v>
      </c>
      <c r="Y79" s="214">
        <v>105.5</v>
      </c>
      <c r="Z79" s="214">
        <v>81.99</v>
      </c>
      <c r="AA79" s="207" t="s">
        <v>386</v>
      </c>
      <c r="AB79" s="208" t="s">
        <v>386</v>
      </c>
      <c r="AC79" s="208" t="s">
        <v>386</v>
      </c>
      <c r="AD79" s="208" t="s">
        <v>386</v>
      </c>
      <c r="AE79" s="208" t="s">
        <v>386</v>
      </c>
      <c r="AF79" s="362" t="s">
        <v>386</v>
      </c>
      <c r="AG79" s="363" t="s">
        <v>386</v>
      </c>
      <c r="AH79" s="363" t="s">
        <v>386</v>
      </c>
      <c r="AI79" s="363" t="s">
        <v>386</v>
      </c>
      <c r="AJ79" s="364" t="s">
        <v>386</v>
      </c>
      <c r="AK79" s="208" t="s">
        <v>386</v>
      </c>
      <c r="AL79" s="208" t="s">
        <v>386</v>
      </c>
      <c r="AM79" s="208" t="s">
        <v>386</v>
      </c>
      <c r="AN79" s="208" t="s">
        <v>386</v>
      </c>
      <c r="AO79" s="208" t="s">
        <v>386</v>
      </c>
      <c r="AP79" s="207" t="s">
        <v>386</v>
      </c>
      <c r="AQ79" s="208" t="s">
        <v>386</v>
      </c>
      <c r="AR79" s="208" t="s">
        <v>386</v>
      </c>
      <c r="AS79" s="208" t="s">
        <v>386</v>
      </c>
      <c r="AT79" s="209" t="s">
        <v>386</v>
      </c>
      <c r="AU79" s="208" t="s">
        <v>386</v>
      </c>
      <c r="AV79" s="208" t="s">
        <v>386</v>
      </c>
      <c r="AW79" s="208" t="s">
        <v>386</v>
      </c>
      <c r="AX79" s="208" t="s">
        <v>386</v>
      </c>
      <c r="AY79" s="208" t="s">
        <v>386</v>
      </c>
      <c r="AZ79" s="207" t="s">
        <v>386</v>
      </c>
      <c r="BA79" s="208" t="s">
        <v>386</v>
      </c>
      <c r="BB79" s="208" t="s">
        <v>386</v>
      </c>
      <c r="BC79" s="208" t="s">
        <v>386</v>
      </c>
      <c r="BD79" s="209" t="s">
        <v>386</v>
      </c>
      <c r="BE79" s="208" t="s">
        <v>386</v>
      </c>
      <c r="BF79" s="208" t="s">
        <v>386</v>
      </c>
      <c r="BG79" s="208" t="s">
        <v>386</v>
      </c>
      <c r="BH79" s="208" t="s">
        <v>386</v>
      </c>
      <c r="BI79" s="208" t="s">
        <v>386</v>
      </c>
      <c r="BJ79" s="207" t="s">
        <v>386</v>
      </c>
      <c r="BK79" s="208" t="s">
        <v>386</v>
      </c>
      <c r="BL79" s="208" t="s">
        <v>386</v>
      </c>
      <c r="BM79" s="208" t="s">
        <v>386</v>
      </c>
      <c r="BN79" s="209" t="s">
        <v>386</v>
      </c>
      <c r="BO79" s="208" t="s">
        <v>386</v>
      </c>
      <c r="BP79" s="208" t="s">
        <v>386</v>
      </c>
      <c r="BQ79" s="208" t="s">
        <v>386</v>
      </c>
      <c r="BR79" s="208" t="s">
        <v>386</v>
      </c>
      <c r="BS79" s="209" t="s">
        <v>386</v>
      </c>
      <c r="BT79" s="215" t="s">
        <v>386</v>
      </c>
      <c r="BU79" s="215" t="s">
        <v>386</v>
      </c>
      <c r="BV79" s="215" t="s">
        <v>386</v>
      </c>
      <c r="BW79" s="215" t="s">
        <v>386</v>
      </c>
      <c r="BX79" s="406" t="s">
        <v>386</v>
      </c>
      <c r="BY79" s="215" t="s">
        <v>386</v>
      </c>
      <c r="BZ79" s="215" t="s">
        <v>386</v>
      </c>
      <c r="CA79" s="215" t="s">
        <v>386</v>
      </c>
      <c r="CB79" s="215" t="s">
        <v>386</v>
      </c>
      <c r="CC79" s="215" t="s">
        <v>386</v>
      </c>
      <c r="CD79" s="207" t="s">
        <v>386</v>
      </c>
      <c r="CE79" s="208" t="s">
        <v>386</v>
      </c>
      <c r="CF79" s="208" t="s">
        <v>386</v>
      </c>
      <c r="CG79" s="208" t="s">
        <v>386</v>
      </c>
      <c r="CH79" s="209" t="s">
        <v>386</v>
      </c>
    </row>
    <row r="80" spans="1:86" x14ac:dyDescent="0.25">
      <c r="A80" s="107" t="s">
        <v>108</v>
      </c>
      <c r="B80" s="213">
        <v>49.1</v>
      </c>
      <c r="C80" s="214">
        <v>47.1</v>
      </c>
      <c r="D80" s="214">
        <v>62.5</v>
      </c>
      <c r="E80" s="214">
        <v>68.56</v>
      </c>
      <c r="F80" s="214">
        <v>37.6</v>
      </c>
      <c r="G80" s="213">
        <v>61.76</v>
      </c>
      <c r="H80" s="214">
        <v>64.650000000000006</v>
      </c>
      <c r="I80" s="214">
        <v>62.75</v>
      </c>
      <c r="J80" s="214">
        <v>51.589999999999996</v>
      </c>
      <c r="K80" s="217">
        <v>59.24</v>
      </c>
      <c r="L80" s="214">
        <v>214.25</v>
      </c>
      <c r="M80" s="214">
        <v>223.89</v>
      </c>
      <c r="N80" s="214">
        <v>213.55</v>
      </c>
      <c r="O80" s="214">
        <v>193.5</v>
      </c>
      <c r="P80" s="214">
        <v>230.86</v>
      </c>
      <c r="Q80" s="213">
        <v>55</v>
      </c>
      <c r="R80" s="214">
        <v>61</v>
      </c>
      <c r="S80" s="214">
        <v>73.2</v>
      </c>
      <c r="T80" s="214">
        <v>86.51</v>
      </c>
      <c r="U80" s="217">
        <v>85.65</v>
      </c>
      <c r="V80" s="214">
        <v>65.88</v>
      </c>
      <c r="W80" s="214">
        <v>71.78</v>
      </c>
      <c r="X80" s="214">
        <v>74.599999999999994</v>
      </c>
      <c r="Y80" s="214">
        <v>88.06</v>
      </c>
      <c r="Z80" s="214">
        <v>90.33</v>
      </c>
      <c r="AA80" s="207" t="s">
        <v>386</v>
      </c>
      <c r="AB80" s="208" t="s">
        <v>386</v>
      </c>
      <c r="AC80" s="208" t="s">
        <v>386</v>
      </c>
      <c r="AD80" s="208" t="s">
        <v>386</v>
      </c>
      <c r="AE80" s="208" t="s">
        <v>386</v>
      </c>
      <c r="AF80" s="362">
        <v>71</v>
      </c>
      <c r="AG80" s="363">
        <v>94</v>
      </c>
      <c r="AH80" s="363">
        <v>81.83</v>
      </c>
      <c r="AI80" s="363">
        <v>88.21</v>
      </c>
      <c r="AJ80" s="364">
        <v>79.52</v>
      </c>
      <c r="AK80" s="208" t="s">
        <v>386</v>
      </c>
      <c r="AL80" s="208" t="s">
        <v>386</v>
      </c>
      <c r="AM80" s="208" t="s">
        <v>386</v>
      </c>
      <c r="AN80" s="208" t="s">
        <v>386</v>
      </c>
      <c r="AO80" s="208" t="s">
        <v>386</v>
      </c>
      <c r="AP80" s="213" t="s">
        <v>386</v>
      </c>
      <c r="AQ80" s="214" t="s">
        <v>386</v>
      </c>
      <c r="AR80" s="214" t="s">
        <v>386</v>
      </c>
      <c r="AS80" s="214" t="s">
        <v>386</v>
      </c>
      <c r="AT80" s="217" t="s">
        <v>386</v>
      </c>
      <c r="AU80" s="208" t="s">
        <v>386</v>
      </c>
      <c r="AV80" s="208" t="s">
        <v>386</v>
      </c>
      <c r="AW80" s="208" t="s">
        <v>386</v>
      </c>
      <c r="AX80" s="208" t="s">
        <v>386</v>
      </c>
      <c r="AY80" s="208" t="s">
        <v>386</v>
      </c>
      <c r="AZ80" s="207" t="s">
        <v>386</v>
      </c>
      <c r="BA80" s="208" t="s">
        <v>386</v>
      </c>
      <c r="BB80" s="208" t="s">
        <v>386</v>
      </c>
      <c r="BC80" s="208" t="s">
        <v>386</v>
      </c>
      <c r="BD80" s="209" t="s">
        <v>386</v>
      </c>
      <c r="BE80" s="208" t="s">
        <v>386</v>
      </c>
      <c r="BF80" s="208" t="s">
        <v>386</v>
      </c>
      <c r="BG80" s="208" t="s">
        <v>386</v>
      </c>
      <c r="BH80" s="208" t="s">
        <v>386</v>
      </c>
      <c r="BI80" s="208" t="s">
        <v>386</v>
      </c>
      <c r="BJ80" s="207" t="s">
        <v>386</v>
      </c>
      <c r="BK80" s="208" t="s">
        <v>386</v>
      </c>
      <c r="BL80" s="208" t="s">
        <v>386</v>
      </c>
      <c r="BM80" s="208" t="s">
        <v>386</v>
      </c>
      <c r="BN80" s="209" t="s">
        <v>386</v>
      </c>
      <c r="BO80" s="208" t="s">
        <v>386</v>
      </c>
      <c r="BP80" s="208" t="s">
        <v>386</v>
      </c>
      <c r="BQ80" s="208" t="s">
        <v>386</v>
      </c>
      <c r="BR80" s="208" t="s">
        <v>386</v>
      </c>
      <c r="BS80" s="209" t="s">
        <v>386</v>
      </c>
      <c r="BT80" s="215" t="s">
        <v>386</v>
      </c>
      <c r="BU80" s="215" t="s">
        <v>386</v>
      </c>
      <c r="BV80" s="215" t="s">
        <v>386</v>
      </c>
      <c r="BW80" s="215" t="s">
        <v>386</v>
      </c>
      <c r="BX80" s="406" t="s">
        <v>386</v>
      </c>
      <c r="BY80" s="215" t="s">
        <v>386</v>
      </c>
      <c r="BZ80" s="215" t="s">
        <v>386</v>
      </c>
      <c r="CA80" s="215" t="s">
        <v>386</v>
      </c>
      <c r="CB80" s="215" t="s">
        <v>386</v>
      </c>
      <c r="CC80" s="215" t="s">
        <v>386</v>
      </c>
      <c r="CD80" s="207" t="s">
        <v>386</v>
      </c>
      <c r="CE80" s="208" t="s">
        <v>386</v>
      </c>
      <c r="CF80" s="208" t="s">
        <v>386</v>
      </c>
      <c r="CG80" s="208" t="s">
        <v>386</v>
      </c>
      <c r="CH80" s="209" t="s">
        <v>386</v>
      </c>
    </row>
    <row r="81" spans="1:86" x14ac:dyDescent="0.25">
      <c r="A81" s="107" t="s">
        <v>109</v>
      </c>
      <c r="B81" s="213">
        <v>47.5</v>
      </c>
      <c r="C81" s="214">
        <v>47.1</v>
      </c>
      <c r="D81" s="214">
        <v>46.7</v>
      </c>
      <c r="E81" s="214">
        <v>68.56</v>
      </c>
      <c r="F81" s="214">
        <v>41.51</v>
      </c>
      <c r="G81" s="213">
        <v>64.260000000000005</v>
      </c>
      <c r="H81" s="214">
        <v>64.11</v>
      </c>
      <c r="I81" s="214">
        <v>63.61</v>
      </c>
      <c r="J81" s="214">
        <v>52.379999999999995</v>
      </c>
      <c r="K81" s="217">
        <v>55.14</v>
      </c>
      <c r="L81" s="214">
        <v>223.96</v>
      </c>
      <c r="M81" s="214">
        <v>223.54</v>
      </c>
      <c r="N81" s="214">
        <v>232.4</v>
      </c>
      <c r="O81" s="214">
        <v>192.85</v>
      </c>
      <c r="P81" s="214">
        <v>187.64000000000001</v>
      </c>
      <c r="Q81" s="213">
        <v>55</v>
      </c>
      <c r="R81" s="214">
        <v>61</v>
      </c>
      <c r="S81" s="214">
        <v>73.2</v>
      </c>
      <c r="T81" s="214">
        <v>86.51</v>
      </c>
      <c r="U81" s="217">
        <v>85.65</v>
      </c>
      <c r="V81" s="214">
        <v>65.459999999999994</v>
      </c>
      <c r="W81" s="214">
        <v>94.79</v>
      </c>
      <c r="X81" s="214">
        <v>94.09</v>
      </c>
      <c r="Y81" s="214">
        <v>71.760000000000005</v>
      </c>
      <c r="Z81" s="214">
        <v>82.73</v>
      </c>
      <c r="AA81" s="207" t="s">
        <v>386</v>
      </c>
      <c r="AB81" s="208" t="s">
        <v>386</v>
      </c>
      <c r="AC81" s="208" t="s">
        <v>386</v>
      </c>
      <c r="AD81" s="208" t="s">
        <v>386</v>
      </c>
      <c r="AE81" s="208" t="s">
        <v>386</v>
      </c>
      <c r="AF81" s="229">
        <v>71</v>
      </c>
      <c r="AG81" s="220">
        <v>94</v>
      </c>
      <c r="AH81" s="220">
        <v>81.83</v>
      </c>
      <c r="AI81" s="220">
        <v>88.21</v>
      </c>
      <c r="AJ81" s="224">
        <v>79.52</v>
      </c>
      <c r="AK81" s="208" t="s">
        <v>386</v>
      </c>
      <c r="AL81" s="208" t="s">
        <v>386</v>
      </c>
      <c r="AM81" s="208" t="s">
        <v>386</v>
      </c>
      <c r="AN81" s="208" t="s">
        <v>386</v>
      </c>
      <c r="AO81" s="208" t="s">
        <v>386</v>
      </c>
      <c r="AP81" s="207" t="s">
        <v>386</v>
      </c>
      <c r="AQ81" s="208" t="s">
        <v>386</v>
      </c>
      <c r="AR81" s="208" t="s">
        <v>386</v>
      </c>
      <c r="AS81" s="208" t="s">
        <v>386</v>
      </c>
      <c r="AT81" s="209" t="s">
        <v>386</v>
      </c>
      <c r="AU81" s="208" t="s">
        <v>386</v>
      </c>
      <c r="AV81" s="208" t="s">
        <v>386</v>
      </c>
      <c r="AW81" s="208" t="s">
        <v>386</v>
      </c>
      <c r="AX81" s="208" t="s">
        <v>386</v>
      </c>
      <c r="AY81" s="208" t="s">
        <v>386</v>
      </c>
      <c r="AZ81" s="207" t="s">
        <v>386</v>
      </c>
      <c r="BA81" s="208" t="s">
        <v>386</v>
      </c>
      <c r="BB81" s="208" t="s">
        <v>386</v>
      </c>
      <c r="BC81" s="208" t="s">
        <v>386</v>
      </c>
      <c r="BD81" s="209" t="s">
        <v>386</v>
      </c>
      <c r="BE81" s="208" t="s">
        <v>386</v>
      </c>
      <c r="BF81" s="208" t="s">
        <v>386</v>
      </c>
      <c r="BG81" s="208" t="s">
        <v>386</v>
      </c>
      <c r="BH81" s="208" t="s">
        <v>386</v>
      </c>
      <c r="BI81" s="208" t="s">
        <v>386</v>
      </c>
      <c r="BJ81" s="207" t="s">
        <v>386</v>
      </c>
      <c r="BK81" s="208" t="s">
        <v>386</v>
      </c>
      <c r="BL81" s="208" t="s">
        <v>386</v>
      </c>
      <c r="BM81" s="208" t="s">
        <v>386</v>
      </c>
      <c r="BN81" s="209" t="s">
        <v>386</v>
      </c>
      <c r="BO81" s="208" t="s">
        <v>386</v>
      </c>
      <c r="BP81" s="208" t="s">
        <v>386</v>
      </c>
      <c r="BQ81" s="208" t="s">
        <v>386</v>
      </c>
      <c r="BR81" s="208" t="s">
        <v>386</v>
      </c>
      <c r="BS81" s="209" t="s">
        <v>386</v>
      </c>
      <c r="BT81" s="215" t="s">
        <v>386</v>
      </c>
      <c r="BU81" s="215" t="s">
        <v>386</v>
      </c>
      <c r="BV81" s="215" t="s">
        <v>386</v>
      </c>
      <c r="BW81" s="215" t="s">
        <v>386</v>
      </c>
      <c r="BX81" s="406" t="s">
        <v>386</v>
      </c>
      <c r="BY81" s="215" t="s">
        <v>386</v>
      </c>
      <c r="BZ81" s="215" t="s">
        <v>386</v>
      </c>
      <c r="CA81" s="215" t="s">
        <v>386</v>
      </c>
      <c r="CB81" s="215" t="s">
        <v>386</v>
      </c>
      <c r="CC81" s="215" t="s">
        <v>386</v>
      </c>
      <c r="CD81" s="207" t="s">
        <v>386</v>
      </c>
      <c r="CE81" s="208" t="s">
        <v>386</v>
      </c>
      <c r="CF81" s="208" t="s">
        <v>386</v>
      </c>
      <c r="CG81" s="208" t="s">
        <v>386</v>
      </c>
      <c r="CH81" s="209" t="s">
        <v>386</v>
      </c>
    </row>
    <row r="82" spans="1:86" x14ac:dyDescent="0.25">
      <c r="A82" s="107" t="s">
        <v>110</v>
      </c>
      <c r="B82" s="213">
        <v>42.9</v>
      </c>
      <c r="C82" s="214">
        <v>47.1</v>
      </c>
      <c r="D82" s="214">
        <v>52</v>
      </c>
      <c r="E82" s="214">
        <v>30.4</v>
      </c>
      <c r="F82" s="214">
        <v>30.4</v>
      </c>
      <c r="G82" s="213">
        <v>65.08</v>
      </c>
      <c r="H82" s="214">
        <v>65.38</v>
      </c>
      <c r="I82" s="214">
        <v>63.45</v>
      </c>
      <c r="J82" s="214">
        <v>59.39</v>
      </c>
      <c r="K82" s="217">
        <v>57.46</v>
      </c>
      <c r="L82" s="214">
        <v>223.78</v>
      </c>
      <c r="M82" s="214">
        <v>224.07</v>
      </c>
      <c r="N82" s="214">
        <v>224</v>
      </c>
      <c r="O82" s="214">
        <v>218.16</v>
      </c>
      <c r="P82" s="214">
        <v>200.25</v>
      </c>
      <c r="Q82" s="213">
        <v>55</v>
      </c>
      <c r="R82" s="214">
        <v>61</v>
      </c>
      <c r="S82" s="214">
        <v>73.2</v>
      </c>
      <c r="T82" s="214">
        <v>86.51</v>
      </c>
      <c r="U82" s="217">
        <v>85.65</v>
      </c>
      <c r="V82" s="214">
        <v>62.64</v>
      </c>
      <c r="W82" s="214">
        <v>73.680000000000007</v>
      </c>
      <c r="X82" s="214">
        <v>77</v>
      </c>
      <c r="Y82" s="214">
        <v>105.47</v>
      </c>
      <c r="Z82" s="214">
        <v>90.33</v>
      </c>
      <c r="AA82" s="207" t="s">
        <v>386</v>
      </c>
      <c r="AB82" s="208" t="s">
        <v>386</v>
      </c>
      <c r="AC82" s="208" t="s">
        <v>386</v>
      </c>
      <c r="AD82" s="208" t="s">
        <v>386</v>
      </c>
      <c r="AE82" s="208" t="s">
        <v>386</v>
      </c>
      <c r="AF82" s="229">
        <v>71</v>
      </c>
      <c r="AG82" s="220">
        <v>94</v>
      </c>
      <c r="AH82" s="220">
        <v>81.83</v>
      </c>
      <c r="AI82" s="220">
        <v>88.21</v>
      </c>
      <c r="AJ82" s="224">
        <v>79.52</v>
      </c>
      <c r="AK82" s="208" t="s">
        <v>386</v>
      </c>
      <c r="AL82" s="208" t="s">
        <v>386</v>
      </c>
      <c r="AM82" s="208" t="s">
        <v>386</v>
      </c>
      <c r="AN82" s="208" t="s">
        <v>386</v>
      </c>
      <c r="AO82" s="208" t="s">
        <v>386</v>
      </c>
      <c r="AP82" s="213" t="s">
        <v>386</v>
      </c>
      <c r="AQ82" s="214" t="s">
        <v>386</v>
      </c>
      <c r="AR82" s="214" t="s">
        <v>386</v>
      </c>
      <c r="AS82" s="214" t="s">
        <v>386</v>
      </c>
      <c r="AT82" s="217" t="s">
        <v>386</v>
      </c>
      <c r="AU82" s="208" t="s">
        <v>386</v>
      </c>
      <c r="AV82" s="208" t="s">
        <v>386</v>
      </c>
      <c r="AW82" s="208" t="s">
        <v>386</v>
      </c>
      <c r="AX82" s="208" t="s">
        <v>386</v>
      </c>
      <c r="AY82" s="208" t="s">
        <v>386</v>
      </c>
      <c r="AZ82" s="207" t="s">
        <v>386</v>
      </c>
      <c r="BA82" s="208" t="s">
        <v>386</v>
      </c>
      <c r="BB82" s="208" t="s">
        <v>386</v>
      </c>
      <c r="BC82" s="208" t="s">
        <v>386</v>
      </c>
      <c r="BD82" s="209" t="s">
        <v>386</v>
      </c>
      <c r="BE82" s="208" t="s">
        <v>386</v>
      </c>
      <c r="BF82" s="208" t="s">
        <v>386</v>
      </c>
      <c r="BG82" s="208" t="s">
        <v>386</v>
      </c>
      <c r="BH82" s="208" t="s">
        <v>386</v>
      </c>
      <c r="BI82" s="208" t="s">
        <v>386</v>
      </c>
      <c r="BJ82" s="207" t="s">
        <v>386</v>
      </c>
      <c r="BK82" s="208" t="s">
        <v>386</v>
      </c>
      <c r="BL82" s="208" t="s">
        <v>386</v>
      </c>
      <c r="BM82" s="208" t="s">
        <v>386</v>
      </c>
      <c r="BN82" s="209" t="s">
        <v>386</v>
      </c>
      <c r="BO82" s="208" t="s">
        <v>386</v>
      </c>
      <c r="BP82" s="208" t="s">
        <v>386</v>
      </c>
      <c r="BQ82" s="208" t="s">
        <v>386</v>
      </c>
      <c r="BR82" s="208" t="s">
        <v>386</v>
      </c>
      <c r="BS82" s="209" t="s">
        <v>386</v>
      </c>
      <c r="BT82" s="215" t="s">
        <v>386</v>
      </c>
      <c r="BU82" s="215" t="s">
        <v>386</v>
      </c>
      <c r="BV82" s="215" t="s">
        <v>386</v>
      </c>
      <c r="BW82" s="215" t="s">
        <v>386</v>
      </c>
      <c r="BX82" s="406" t="s">
        <v>386</v>
      </c>
      <c r="BY82" s="215" t="s">
        <v>386</v>
      </c>
      <c r="BZ82" s="215" t="s">
        <v>386</v>
      </c>
      <c r="CA82" s="215" t="s">
        <v>386</v>
      </c>
      <c r="CB82" s="215" t="s">
        <v>386</v>
      </c>
      <c r="CC82" s="215" t="s">
        <v>386</v>
      </c>
      <c r="CD82" s="207" t="s">
        <v>386</v>
      </c>
      <c r="CE82" s="208" t="s">
        <v>386</v>
      </c>
      <c r="CF82" s="208" t="s">
        <v>386</v>
      </c>
      <c r="CG82" s="208" t="s">
        <v>386</v>
      </c>
      <c r="CH82" s="209" t="s">
        <v>386</v>
      </c>
    </row>
    <row r="83" spans="1:86" x14ac:dyDescent="0.25">
      <c r="A83" s="107" t="s">
        <v>111</v>
      </c>
      <c r="B83" s="213">
        <v>62.86</v>
      </c>
      <c r="C83" s="214">
        <v>62.08</v>
      </c>
      <c r="D83" s="214">
        <v>67.17</v>
      </c>
      <c r="E83" s="214">
        <v>61.04</v>
      </c>
      <c r="F83" s="214">
        <v>55.419999999999995</v>
      </c>
      <c r="G83" s="213">
        <v>49.550000000000004</v>
      </c>
      <c r="H83" s="214">
        <v>50.199999999999996</v>
      </c>
      <c r="I83" s="214">
        <v>47.190000000000005</v>
      </c>
      <c r="J83" s="214">
        <v>45.769999999999996</v>
      </c>
      <c r="K83" s="217">
        <v>44.43</v>
      </c>
      <c r="L83" s="214">
        <v>202.79999999999998</v>
      </c>
      <c r="M83" s="214">
        <v>201.48000000000002</v>
      </c>
      <c r="N83" s="214">
        <v>194.87</v>
      </c>
      <c r="O83" s="214">
        <v>193.24</v>
      </c>
      <c r="P83" s="214">
        <v>195.51</v>
      </c>
      <c r="Q83" s="213">
        <v>75.599999999999994</v>
      </c>
      <c r="R83" s="214">
        <v>61.6</v>
      </c>
      <c r="S83" s="214">
        <v>76.5</v>
      </c>
      <c r="T83" s="214">
        <v>86.51</v>
      </c>
      <c r="U83" s="217">
        <v>61</v>
      </c>
      <c r="V83" s="214">
        <v>73.52</v>
      </c>
      <c r="W83" s="214">
        <v>50.5</v>
      </c>
      <c r="X83" s="214">
        <v>58.6</v>
      </c>
      <c r="Y83" s="214">
        <v>58.74</v>
      </c>
      <c r="Z83" s="214">
        <v>67.94</v>
      </c>
      <c r="AA83" s="207" t="s">
        <v>386</v>
      </c>
      <c r="AB83" s="208" t="s">
        <v>386</v>
      </c>
      <c r="AC83" s="208" t="s">
        <v>386</v>
      </c>
      <c r="AD83" s="208" t="s">
        <v>386</v>
      </c>
      <c r="AE83" s="208" t="s">
        <v>386</v>
      </c>
      <c r="AF83" s="229" t="s">
        <v>386</v>
      </c>
      <c r="AG83" s="220" t="s">
        <v>386</v>
      </c>
      <c r="AH83" s="220" t="s">
        <v>386</v>
      </c>
      <c r="AI83" s="220" t="s">
        <v>386</v>
      </c>
      <c r="AJ83" s="224" t="s">
        <v>386</v>
      </c>
      <c r="AK83" s="208" t="s">
        <v>386</v>
      </c>
      <c r="AL83" s="208" t="s">
        <v>386</v>
      </c>
      <c r="AM83" s="208" t="s">
        <v>386</v>
      </c>
      <c r="AN83" s="208" t="s">
        <v>386</v>
      </c>
      <c r="AO83" s="208" t="s">
        <v>386</v>
      </c>
      <c r="AP83" s="213">
        <v>1796</v>
      </c>
      <c r="AQ83" s="214">
        <v>2185.46</v>
      </c>
      <c r="AR83" s="214">
        <v>2593.81</v>
      </c>
      <c r="AS83" s="214">
        <v>2553.84</v>
      </c>
      <c r="AT83" s="217">
        <v>1845.18</v>
      </c>
      <c r="AU83" s="208" t="s">
        <v>386</v>
      </c>
      <c r="AV83" s="208" t="s">
        <v>386</v>
      </c>
      <c r="AW83" s="208" t="s">
        <v>386</v>
      </c>
      <c r="AX83" s="208" t="s">
        <v>386</v>
      </c>
      <c r="AY83" s="208" t="s">
        <v>386</v>
      </c>
      <c r="AZ83" s="207" t="s">
        <v>386</v>
      </c>
      <c r="BA83" s="208" t="s">
        <v>386</v>
      </c>
      <c r="BB83" s="208" t="s">
        <v>386</v>
      </c>
      <c r="BC83" s="208" t="s">
        <v>386</v>
      </c>
      <c r="BD83" s="209" t="s">
        <v>386</v>
      </c>
      <c r="BE83" s="208" t="s">
        <v>386</v>
      </c>
      <c r="BF83" s="208" t="s">
        <v>386</v>
      </c>
      <c r="BG83" s="208" t="s">
        <v>386</v>
      </c>
      <c r="BH83" s="208" t="s">
        <v>386</v>
      </c>
      <c r="BI83" s="208" t="s">
        <v>386</v>
      </c>
      <c r="BJ83" s="207" t="s">
        <v>386</v>
      </c>
      <c r="BK83" s="208" t="s">
        <v>386</v>
      </c>
      <c r="BL83" s="208" t="s">
        <v>386</v>
      </c>
      <c r="BM83" s="208" t="s">
        <v>386</v>
      </c>
      <c r="BN83" s="209" t="s">
        <v>386</v>
      </c>
      <c r="BO83" s="208" t="s">
        <v>386</v>
      </c>
      <c r="BP83" s="208" t="s">
        <v>386</v>
      </c>
      <c r="BQ83" s="208" t="s">
        <v>386</v>
      </c>
      <c r="BR83" s="208" t="s">
        <v>386</v>
      </c>
      <c r="BS83" s="209" t="s">
        <v>386</v>
      </c>
      <c r="BT83" s="215" t="s">
        <v>386</v>
      </c>
      <c r="BU83" s="215" t="s">
        <v>386</v>
      </c>
      <c r="BV83" s="215" t="s">
        <v>386</v>
      </c>
      <c r="BW83" s="215" t="s">
        <v>386</v>
      </c>
      <c r="BX83" s="406" t="s">
        <v>386</v>
      </c>
      <c r="BY83" s="215" t="s">
        <v>386</v>
      </c>
      <c r="BZ83" s="215" t="s">
        <v>386</v>
      </c>
      <c r="CA83" s="215" t="s">
        <v>386</v>
      </c>
      <c r="CB83" s="215" t="s">
        <v>386</v>
      </c>
      <c r="CC83" s="215" t="s">
        <v>386</v>
      </c>
      <c r="CD83" s="207" t="s">
        <v>386</v>
      </c>
      <c r="CE83" s="208" t="s">
        <v>386</v>
      </c>
      <c r="CF83" s="208" t="s">
        <v>386</v>
      </c>
      <c r="CG83" s="208" t="s">
        <v>386</v>
      </c>
      <c r="CH83" s="209" t="s">
        <v>386</v>
      </c>
    </row>
    <row r="84" spans="1:86" x14ac:dyDescent="0.25">
      <c r="A84" s="107" t="s">
        <v>112</v>
      </c>
      <c r="B84" s="213">
        <v>57.13</v>
      </c>
      <c r="C84" s="214">
        <v>33.729999999999997</v>
      </c>
      <c r="D84" s="214">
        <v>45.95</v>
      </c>
      <c r="E84" s="214">
        <v>37.5</v>
      </c>
      <c r="F84" s="214">
        <v>69.959999999999994</v>
      </c>
      <c r="G84" s="213">
        <v>60.589999999999996</v>
      </c>
      <c r="H84" s="214">
        <v>59.949999999999996</v>
      </c>
      <c r="I84" s="214">
        <v>59.440000000000005</v>
      </c>
      <c r="J84" s="214">
        <v>60.089999999999996</v>
      </c>
      <c r="K84" s="217">
        <v>44.589999999999996</v>
      </c>
      <c r="L84" s="214">
        <v>221.86999999999998</v>
      </c>
      <c r="M84" s="214">
        <v>177.36</v>
      </c>
      <c r="N84" s="214">
        <v>187.15</v>
      </c>
      <c r="O84" s="214">
        <v>189.33</v>
      </c>
      <c r="P84" s="214">
        <v>157.66</v>
      </c>
      <c r="Q84" s="213">
        <v>51.36</v>
      </c>
      <c r="R84" s="214">
        <v>61</v>
      </c>
      <c r="S84" s="214">
        <v>65.900000000000006</v>
      </c>
      <c r="T84" s="214">
        <v>86.51</v>
      </c>
      <c r="U84" s="217">
        <v>85.65</v>
      </c>
      <c r="V84" s="214">
        <v>59</v>
      </c>
      <c r="W84" s="214">
        <v>50.5</v>
      </c>
      <c r="X84" s="214">
        <v>53.9</v>
      </c>
      <c r="Y84" s="214">
        <v>40.799999999999997</v>
      </c>
      <c r="Z84" s="214">
        <v>62.81</v>
      </c>
      <c r="AA84" s="207" t="s">
        <v>386</v>
      </c>
      <c r="AB84" s="208" t="s">
        <v>386</v>
      </c>
      <c r="AC84" s="208" t="s">
        <v>386</v>
      </c>
      <c r="AD84" s="208" t="s">
        <v>386</v>
      </c>
      <c r="AE84" s="208" t="s">
        <v>386</v>
      </c>
      <c r="AF84" s="362" t="s">
        <v>386</v>
      </c>
      <c r="AG84" s="363" t="s">
        <v>386</v>
      </c>
      <c r="AH84" s="363" t="s">
        <v>386</v>
      </c>
      <c r="AI84" s="363" t="s">
        <v>386</v>
      </c>
      <c r="AJ84" s="364" t="s">
        <v>386</v>
      </c>
      <c r="AK84" s="208" t="s">
        <v>386</v>
      </c>
      <c r="AL84" s="208" t="s">
        <v>386</v>
      </c>
      <c r="AM84" s="208" t="s">
        <v>386</v>
      </c>
      <c r="AN84" s="208" t="s">
        <v>386</v>
      </c>
      <c r="AO84" s="208" t="s">
        <v>386</v>
      </c>
      <c r="AP84" s="207" t="s">
        <v>386</v>
      </c>
      <c r="AQ84" s="208" t="s">
        <v>386</v>
      </c>
      <c r="AR84" s="208" t="s">
        <v>386</v>
      </c>
      <c r="AS84" s="208" t="s">
        <v>386</v>
      </c>
      <c r="AT84" s="209" t="s">
        <v>386</v>
      </c>
      <c r="AU84" s="208" t="s">
        <v>386</v>
      </c>
      <c r="AV84" s="208" t="s">
        <v>386</v>
      </c>
      <c r="AW84" s="208" t="s">
        <v>386</v>
      </c>
      <c r="AX84" s="208" t="s">
        <v>386</v>
      </c>
      <c r="AY84" s="208" t="s">
        <v>386</v>
      </c>
      <c r="AZ84" s="207" t="s">
        <v>386</v>
      </c>
      <c r="BA84" s="208" t="s">
        <v>386</v>
      </c>
      <c r="BB84" s="208" t="s">
        <v>386</v>
      </c>
      <c r="BC84" s="208" t="s">
        <v>386</v>
      </c>
      <c r="BD84" s="209" t="s">
        <v>386</v>
      </c>
      <c r="BE84" s="208" t="s">
        <v>386</v>
      </c>
      <c r="BF84" s="208" t="s">
        <v>386</v>
      </c>
      <c r="BG84" s="208" t="s">
        <v>386</v>
      </c>
      <c r="BH84" s="208" t="s">
        <v>386</v>
      </c>
      <c r="BI84" s="208" t="s">
        <v>386</v>
      </c>
      <c r="BJ84" s="207" t="s">
        <v>386</v>
      </c>
      <c r="BK84" s="208" t="s">
        <v>386</v>
      </c>
      <c r="BL84" s="208" t="s">
        <v>386</v>
      </c>
      <c r="BM84" s="208" t="s">
        <v>386</v>
      </c>
      <c r="BN84" s="209" t="s">
        <v>386</v>
      </c>
      <c r="BO84" s="208" t="s">
        <v>386</v>
      </c>
      <c r="BP84" s="208" t="s">
        <v>386</v>
      </c>
      <c r="BQ84" s="208" t="s">
        <v>386</v>
      </c>
      <c r="BR84" s="208" t="s">
        <v>386</v>
      </c>
      <c r="BS84" s="209" t="s">
        <v>386</v>
      </c>
      <c r="BT84" s="215" t="s">
        <v>386</v>
      </c>
      <c r="BU84" s="215" t="s">
        <v>386</v>
      </c>
      <c r="BV84" s="215" t="s">
        <v>386</v>
      </c>
      <c r="BW84" s="215" t="s">
        <v>386</v>
      </c>
      <c r="BX84" s="406" t="s">
        <v>386</v>
      </c>
      <c r="BY84" s="215" t="s">
        <v>386</v>
      </c>
      <c r="BZ84" s="215" t="s">
        <v>386</v>
      </c>
      <c r="CA84" s="215" t="s">
        <v>386</v>
      </c>
      <c r="CB84" s="215" t="s">
        <v>386</v>
      </c>
      <c r="CC84" s="215" t="s">
        <v>386</v>
      </c>
      <c r="CD84" s="207" t="s">
        <v>386</v>
      </c>
      <c r="CE84" s="208" t="s">
        <v>386</v>
      </c>
      <c r="CF84" s="208" t="s">
        <v>386</v>
      </c>
      <c r="CG84" s="208" t="s">
        <v>386</v>
      </c>
      <c r="CH84" s="209" t="s">
        <v>386</v>
      </c>
    </row>
    <row r="85" spans="1:86" x14ac:dyDescent="0.25">
      <c r="A85" s="107" t="s">
        <v>113</v>
      </c>
      <c r="B85" s="213">
        <v>52.4</v>
      </c>
      <c r="C85" s="214">
        <v>47.1</v>
      </c>
      <c r="D85" s="214">
        <v>77.599999999999994</v>
      </c>
      <c r="E85" s="214">
        <v>68.56</v>
      </c>
      <c r="F85" s="214">
        <v>27.22</v>
      </c>
      <c r="G85" s="213">
        <v>58.87</v>
      </c>
      <c r="H85" s="214">
        <v>62.78</v>
      </c>
      <c r="I85" s="214">
        <v>62.47</v>
      </c>
      <c r="J85" s="214">
        <v>48.74</v>
      </c>
      <c r="K85" s="217">
        <v>55.97</v>
      </c>
      <c r="L85" s="214">
        <v>200.52</v>
      </c>
      <c r="M85" s="214">
        <v>213.45000000000002</v>
      </c>
      <c r="N85" s="214">
        <v>211.77</v>
      </c>
      <c r="O85" s="214">
        <v>175.73</v>
      </c>
      <c r="P85" s="214">
        <v>224.54</v>
      </c>
      <c r="Q85" s="213">
        <v>55</v>
      </c>
      <c r="R85" s="214">
        <v>61</v>
      </c>
      <c r="S85" s="214">
        <v>73.2</v>
      </c>
      <c r="T85" s="214">
        <v>86.51</v>
      </c>
      <c r="U85" s="217">
        <v>85.65</v>
      </c>
      <c r="V85" s="214">
        <v>58.3</v>
      </c>
      <c r="W85" s="214">
        <v>70.27</v>
      </c>
      <c r="X85" s="214">
        <v>72.8</v>
      </c>
      <c r="Y85" s="214">
        <v>68.86</v>
      </c>
      <c r="Z85" s="214">
        <v>90.33</v>
      </c>
      <c r="AA85" s="207" t="s">
        <v>386</v>
      </c>
      <c r="AB85" s="208" t="s">
        <v>386</v>
      </c>
      <c r="AC85" s="208" t="s">
        <v>386</v>
      </c>
      <c r="AD85" s="208" t="s">
        <v>386</v>
      </c>
      <c r="AE85" s="208" t="s">
        <v>386</v>
      </c>
      <c r="AF85" s="362" t="s">
        <v>386</v>
      </c>
      <c r="AG85" s="363" t="s">
        <v>386</v>
      </c>
      <c r="AH85" s="363" t="s">
        <v>386</v>
      </c>
      <c r="AI85" s="363" t="s">
        <v>386</v>
      </c>
      <c r="AJ85" s="364" t="s">
        <v>386</v>
      </c>
      <c r="AK85" s="208" t="s">
        <v>386</v>
      </c>
      <c r="AL85" s="208" t="s">
        <v>386</v>
      </c>
      <c r="AM85" s="208" t="s">
        <v>386</v>
      </c>
      <c r="AN85" s="208" t="s">
        <v>386</v>
      </c>
      <c r="AO85" s="208" t="s">
        <v>386</v>
      </c>
      <c r="AP85" s="207" t="s">
        <v>386</v>
      </c>
      <c r="AQ85" s="208" t="s">
        <v>386</v>
      </c>
      <c r="AR85" s="208" t="s">
        <v>386</v>
      </c>
      <c r="AS85" s="208" t="s">
        <v>386</v>
      </c>
      <c r="AT85" s="209" t="s">
        <v>386</v>
      </c>
      <c r="AU85" s="208" t="s">
        <v>386</v>
      </c>
      <c r="AV85" s="208" t="s">
        <v>386</v>
      </c>
      <c r="AW85" s="208" t="s">
        <v>386</v>
      </c>
      <c r="AX85" s="208" t="s">
        <v>386</v>
      </c>
      <c r="AY85" s="208" t="s">
        <v>386</v>
      </c>
      <c r="AZ85" s="207" t="s">
        <v>386</v>
      </c>
      <c r="BA85" s="208" t="s">
        <v>386</v>
      </c>
      <c r="BB85" s="208" t="s">
        <v>386</v>
      </c>
      <c r="BC85" s="208" t="s">
        <v>386</v>
      </c>
      <c r="BD85" s="209" t="s">
        <v>386</v>
      </c>
      <c r="BE85" s="208" t="s">
        <v>386</v>
      </c>
      <c r="BF85" s="208" t="s">
        <v>386</v>
      </c>
      <c r="BG85" s="208" t="s">
        <v>386</v>
      </c>
      <c r="BH85" s="208" t="s">
        <v>386</v>
      </c>
      <c r="BI85" s="208" t="s">
        <v>386</v>
      </c>
      <c r="BJ85" s="207" t="s">
        <v>386</v>
      </c>
      <c r="BK85" s="208" t="s">
        <v>386</v>
      </c>
      <c r="BL85" s="208" t="s">
        <v>386</v>
      </c>
      <c r="BM85" s="208" t="s">
        <v>386</v>
      </c>
      <c r="BN85" s="209" t="s">
        <v>386</v>
      </c>
      <c r="BO85" s="208" t="s">
        <v>386</v>
      </c>
      <c r="BP85" s="208" t="s">
        <v>386</v>
      </c>
      <c r="BQ85" s="208" t="s">
        <v>386</v>
      </c>
      <c r="BR85" s="208" t="s">
        <v>386</v>
      </c>
      <c r="BS85" s="209" t="s">
        <v>386</v>
      </c>
      <c r="BT85" s="215" t="s">
        <v>386</v>
      </c>
      <c r="BU85" s="215" t="s">
        <v>386</v>
      </c>
      <c r="BV85" s="215" t="s">
        <v>386</v>
      </c>
      <c r="BW85" s="215" t="s">
        <v>386</v>
      </c>
      <c r="BX85" s="406" t="s">
        <v>386</v>
      </c>
      <c r="BY85" s="215" t="s">
        <v>386</v>
      </c>
      <c r="BZ85" s="215" t="s">
        <v>386</v>
      </c>
      <c r="CA85" s="215" t="s">
        <v>386</v>
      </c>
      <c r="CB85" s="215" t="s">
        <v>386</v>
      </c>
      <c r="CC85" s="215" t="s">
        <v>386</v>
      </c>
      <c r="CD85" s="207" t="s">
        <v>386</v>
      </c>
      <c r="CE85" s="208" t="s">
        <v>386</v>
      </c>
      <c r="CF85" s="208" t="s">
        <v>386</v>
      </c>
      <c r="CG85" s="208" t="s">
        <v>386</v>
      </c>
      <c r="CH85" s="209" t="s">
        <v>386</v>
      </c>
    </row>
    <row r="86" spans="1:86" x14ac:dyDescent="0.25">
      <c r="A86" s="107" t="s">
        <v>114</v>
      </c>
      <c r="B86" s="213">
        <v>43</v>
      </c>
      <c r="C86" s="214">
        <v>47.1</v>
      </c>
      <c r="D86" s="214">
        <v>49.9</v>
      </c>
      <c r="E86" s="214">
        <v>59.34</v>
      </c>
      <c r="F86" s="214">
        <v>48.92</v>
      </c>
      <c r="G86" s="213">
        <v>40.99</v>
      </c>
      <c r="H86" s="214">
        <v>38.619999999999997</v>
      </c>
      <c r="I86" s="214">
        <v>51.21</v>
      </c>
      <c r="J86" s="214">
        <v>35.020000000000003</v>
      </c>
      <c r="K86" s="217">
        <v>41.79</v>
      </c>
      <c r="L86" s="214">
        <v>132.62</v>
      </c>
      <c r="M86" s="214">
        <v>71.8</v>
      </c>
      <c r="N86" s="214">
        <v>80.27</v>
      </c>
      <c r="O86" s="214">
        <v>70.600000000000009</v>
      </c>
      <c r="P86" s="214">
        <v>83.89</v>
      </c>
      <c r="Q86" s="213">
        <v>49.1</v>
      </c>
      <c r="R86" s="214">
        <v>61</v>
      </c>
      <c r="S86" s="214">
        <v>68.099999999999994</v>
      </c>
      <c r="T86" s="214">
        <v>86.51</v>
      </c>
      <c r="U86" s="217">
        <v>85.65</v>
      </c>
      <c r="V86" s="214">
        <v>36.799999999999997</v>
      </c>
      <c r="W86" s="214">
        <v>32</v>
      </c>
      <c r="X86" s="214">
        <v>44.25</v>
      </c>
      <c r="Y86" s="214">
        <v>32.82</v>
      </c>
      <c r="Z86" s="214">
        <v>36.78</v>
      </c>
      <c r="AA86" s="207" t="s">
        <v>386</v>
      </c>
      <c r="AB86" s="208" t="s">
        <v>386</v>
      </c>
      <c r="AC86" s="208" t="s">
        <v>386</v>
      </c>
      <c r="AD86" s="208" t="s">
        <v>386</v>
      </c>
      <c r="AE86" s="208" t="s">
        <v>386</v>
      </c>
      <c r="AF86" s="362" t="s">
        <v>386</v>
      </c>
      <c r="AG86" s="363" t="s">
        <v>386</v>
      </c>
      <c r="AH86" s="363" t="s">
        <v>386</v>
      </c>
      <c r="AI86" s="363" t="s">
        <v>386</v>
      </c>
      <c r="AJ86" s="364" t="s">
        <v>386</v>
      </c>
      <c r="AK86" s="208" t="s">
        <v>386</v>
      </c>
      <c r="AL86" s="208" t="s">
        <v>386</v>
      </c>
      <c r="AM86" s="208" t="s">
        <v>386</v>
      </c>
      <c r="AN86" s="208" t="s">
        <v>386</v>
      </c>
      <c r="AO86" s="208" t="s">
        <v>386</v>
      </c>
      <c r="AP86" s="213">
        <v>1740</v>
      </c>
      <c r="AQ86" s="214">
        <v>2185.46</v>
      </c>
      <c r="AR86" s="214">
        <v>2593.81</v>
      </c>
      <c r="AS86" s="214">
        <v>2553.84</v>
      </c>
      <c r="AT86" s="217">
        <v>1845.18</v>
      </c>
      <c r="AU86" s="208" t="s">
        <v>386</v>
      </c>
      <c r="AV86" s="208" t="s">
        <v>386</v>
      </c>
      <c r="AW86" s="208" t="s">
        <v>386</v>
      </c>
      <c r="AX86" s="208" t="s">
        <v>386</v>
      </c>
      <c r="AY86" s="208" t="s">
        <v>386</v>
      </c>
      <c r="AZ86" s="207" t="s">
        <v>386</v>
      </c>
      <c r="BA86" s="208" t="s">
        <v>386</v>
      </c>
      <c r="BB86" s="208" t="s">
        <v>386</v>
      </c>
      <c r="BC86" s="208" t="s">
        <v>386</v>
      </c>
      <c r="BD86" s="209" t="s">
        <v>386</v>
      </c>
      <c r="BE86" s="208" t="s">
        <v>386</v>
      </c>
      <c r="BF86" s="208" t="s">
        <v>386</v>
      </c>
      <c r="BG86" s="208" t="s">
        <v>386</v>
      </c>
      <c r="BH86" s="208" t="s">
        <v>386</v>
      </c>
      <c r="BI86" s="208" t="s">
        <v>386</v>
      </c>
      <c r="BJ86" s="207" t="s">
        <v>386</v>
      </c>
      <c r="BK86" s="208" t="s">
        <v>386</v>
      </c>
      <c r="BL86" s="208" t="s">
        <v>386</v>
      </c>
      <c r="BM86" s="208" t="s">
        <v>386</v>
      </c>
      <c r="BN86" s="209" t="s">
        <v>386</v>
      </c>
      <c r="BO86" s="208" t="s">
        <v>386</v>
      </c>
      <c r="BP86" s="208" t="s">
        <v>386</v>
      </c>
      <c r="BQ86" s="208" t="s">
        <v>386</v>
      </c>
      <c r="BR86" s="208" t="s">
        <v>386</v>
      </c>
      <c r="BS86" s="209" t="s">
        <v>386</v>
      </c>
      <c r="BT86" s="215" t="s">
        <v>386</v>
      </c>
      <c r="BU86" s="215" t="s">
        <v>386</v>
      </c>
      <c r="BV86" s="215" t="s">
        <v>386</v>
      </c>
      <c r="BW86" s="215" t="s">
        <v>386</v>
      </c>
      <c r="BX86" s="406" t="s">
        <v>386</v>
      </c>
      <c r="BY86" s="215" t="s">
        <v>386</v>
      </c>
      <c r="BZ86" s="215" t="s">
        <v>386</v>
      </c>
      <c r="CA86" s="215" t="s">
        <v>386</v>
      </c>
      <c r="CB86" s="215" t="s">
        <v>386</v>
      </c>
      <c r="CC86" s="215" t="s">
        <v>386</v>
      </c>
      <c r="CD86" s="207" t="s">
        <v>386</v>
      </c>
      <c r="CE86" s="208" t="s">
        <v>386</v>
      </c>
      <c r="CF86" s="208" t="s">
        <v>386</v>
      </c>
      <c r="CG86" s="208" t="s">
        <v>386</v>
      </c>
      <c r="CH86" s="209" t="s">
        <v>386</v>
      </c>
    </row>
    <row r="87" spans="1:86" x14ac:dyDescent="0.25">
      <c r="A87" s="107" t="s">
        <v>115</v>
      </c>
      <c r="B87" s="213">
        <v>38.380000000000003</v>
      </c>
      <c r="C87" s="214">
        <v>47.1</v>
      </c>
      <c r="D87" s="214">
        <v>35.200000000000003</v>
      </c>
      <c r="E87" s="214">
        <v>68.56</v>
      </c>
      <c r="F87" s="214">
        <v>69.959999999999994</v>
      </c>
      <c r="G87" s="213">
        <v>45.08</v>
      </c>
      <c r="H87" s="214">
        <v>41.22</v>
      </c>
      <c r="I87" s="214">
        <v>38.049999999999997</v>
      </c>
      <c r="J87" s="214">
        <v>36.930000000000007</v>
      </c>
      <c r="K87" s="217">
        <v>34.510000000000005</v>
      </c>
      <c r="L87" s="214">
        <v>173.15</v>
      </c>
      <c r="M87" s="214">
        <v>126.83</v>
      </c>
      <c r="N87" s="214">
        <v>152.6</v>
      </c>
      <c r="O87" s="214">
        <v>125.17</v>
      </c>
      <c r="P87" s="214">
        <v>144.83000000000001</v>
      </c>
      <c r="Q87" s="213">
        <v>55.7</v>
      </c>
      <c r="R87" s="214">
        <v>61</v>
      </c>
      <c r="S87" s="214">
        <v>64.3</v>
      </c>
      <c r="T87" s="214">
        <v>86.51</v>
      </c>
      <c r="U87" s="217">
        <v>85.65</v>
      </c>
      <c r="V87" s="214">
        <v>45.7</v>
      </c>
      <c r="W87" s="214">
        <v>50.5</v>
      </c>
      <c r="X87" s="214">
        <v>43.8</v>
      </c>
      <c r="Y87" s="214">
        <v>41.6</v>
      </c>
      <c r="Z87" s="214">
        <v>62.81</v>
      </c>
      <c r="AA87" s="207" t="s">
        <v>386</v>
      </c>
      <c r="AB87" s="208" t="s">
        <v>386</v>
      </c>
      <c r="AC87" s="208" t="s">
        <v>386</v>
      </c>
      <c r="AD87" s="208" t="s">
        <v>386</v>
      </c>
      <c r="AE87" s="208" t="s">
        <v>386</v>
      </c>
      <c r="AF87" s="362" t="s">
        <v>386</v>
      </c>
      <c r="AG87" s="363" t="s">
        <v>386</v>
      </c>
      <c r="AH87" s="363" t="s">
        <v>386</v>
      </c>
      <c r="AI87" s="363" t="s">
        <v>386</v>
      </c>
      <c r="AJ87" s="364" t="s">
        <v>386</v>
      </c>
      <c r="AK87" s="208" t="s">
        <v>386</v>
      </c>
      <c r="AL87" s="208" t="s">
        <v>386</v>
      </c>
      <c r="AM87" s="208" t="s">
        <v>386</v>
      </c>
      <c r="AN87" s="208" t="s">
        <v>386</v>
      </c>
      <c r="AO87" s="208" t="s">
        <v>386</v>
      </c>
      <c r="AP87" s="213">
        <v>1697</v>
      </c>
      <c r="AQ87" s="214">
        <v>2185.46</v>
      </c>
      <c r="AR87" s="214">
        <v>2593.81</v>
      </c>
      <c r="AS87" s="214">
        <v>2553.84</v>
      </c>
      <c r="AT87" s="217">
        <v>1845.18</v>
      </c>
      <c r="AU87" s="208" t="s">
        <v>386</v>
      </c>
      <c r="AV87" s="208" t="s">
        <v>386</v>
      </c>
      <c r="AW87" s="208" t="s">
        <v>386</v>
      </c>
      <c r="AX87" s="208" t="s">
        <v>386</v>
      </c>
      <c r="AY87" s="208" t="s">
        <v>386</v>
      </c>
      <c r="AZ87" s="207" t="s">
        <v>386</v>
      </c>
      <c r="BA87" s="208" t="s">
        <v>386</v>
      </c>
      <c r="BB87" s="208" t="s">
        <v>386</v>
      </c>
      <c r="BC87" s="208" t="s">
        <v>386</v>
      </c>
      <c r="BD87" s="209" t="s">
        <v>386</v>
      </c>
      <c r="BE87" s="208" t="s">
        <v>386</v>
      </c>
      <c r="BF87" s="208" t="s">
        <v>386</v>
      </c>
      <c r="BG87" s="208" t="s">
        <v>386</v>
      </c>
      <c r="BH87" s="208" t="s">
        <v>386</v>
      </c>
      <c r="BI87" s="208" t="s">
        <v>386</v>
      </c>
      <c r="BJ87" s="207" t="s">
        <v>386</v>
      </c>
      <c r="BK87" s="208" t="s">
        <v>386</v>
      </c>
      <c r="BL87" s="208" t="s">
        <v>386</v>
      </c>
      <c r="BM87" s="208" t="s">
        <v>386</v>
      </c>
      <c r="BN87" s="209" t="s">
        <v>386</v>
      </c>
      <c r="BO87" s="208" t="s">
        <v>386</v>
      </c>
      <c r="BP87" s="208" t="s">
        <v>386</v>
      </c>
      <c r="BQ87" s="208" t="s">
        <v>386</v>
      </c>
      <c r="BR87" s="208" t="s">
        <v>386</v>
      </c>
      <c r="BS87" s="209" t="s">
        <v>386</v>
      </c>
      <c r="BT87" s="215" t="s">
        <v>386</v>
      </c>
      <c r="BU87" s="215" t="s">
        <v>386</v>
      </c>
      <c r="BV87" s="215" t="s">
        <v>386</v>
      </c>
      <c r="BW87" s="215" t="s">
        <v>386</v>
      </c>
      <c r="BX87" s="406" t="s">
        <v>386</v>
      </c>
      <c r="BY87" s="215" t="s">
        <v>386</v>
      </c>
      <c r="BZ87" s="215" t="s">
        <v>386</v>
      </c>
      <c r="CA87" s="215" t="s">
        <v>386</v>
      </c>
      <c r="CB87" s="215" t="s">
        <v>386</v>
      </c>
      <c r="CC87" s="215" t="s">
        <v>386</v>
      </c>
      <c r="CD87" s="207" t="s">
        <v>386</v>
      </c>
      <c r="CE87" s="208" t="s">
        <v>386</v>
      </c>
      <c r="CF87" s="208" t="s">
        <v>386</v>
      </c>
      <c r="CG87" s="208" t="s">
        <v>386</v>
      </c>
      <c r="CH87" s="209" t="s">
        <v>386</v>
      </c>
    </row>
    <row r="88" spans="1:86" x14ac:dyDescent="0.25">
      <c r="A88" s="107" t="s">
        <v>116</v>
      </c>
      <c r="B88" s="213">
        <v>48.4</v>
      </c>
      <c r="C88" s="214">
        <v>47.1</v>
      </c>
      <c r="D88" s="214">
        <v>60.4</v>
      </c>
      <c r="E88" s="214">
        <v>59.34</v>
      </c>
      <c r="F88" s="214">
        <v>51.95</v>
      </c>
      <c r="G88" s="213">
        <v>34.64</v>
      </c>
      <c r="H88" s="214">
        <v>37.28</v>
      </c>
      <c r="I88" s="214">
        <v>32.49</v>
      </c>
      <c r="J88" s="214">
        <v>27.18</v>
      </c>
      <c r="K88" s="217">
        <v>30.73</v>
      </c>
      <c r="L88" s="214">
        <v>119.64</v>
      </c>
      <c r="M88" s="214">
        <v>90.76</v>
      </c>
      <c r="N88" s="214">
        <v>135.5</v>
      </c>
      <c r="O88" s="214">
        <v>171.21</v>
      </c>
      <c r="P88" s="214">
        <v>83.4</v>
      </c>
      <c r="Q88" s="213">
        <v>49.8</v>
      </c>
      <c r="R88" s="214">
        <v>61</v>
      </c>
      <c r="S88" s="214">
        <v>74.599999999999994</v>
      </c>
      <c r="T88" s="214">
        <v>86.51</v>
      </c>
      <c r="U88" s="217">
        <v>85.65</v>
      </c>
      <c r="V88" s="214">
        <v>89</v>
      </c>
      <c r="W88" s="214">
        <v>51.2</v>
      </c>
      <c r="X88" s="214">
        <v>76.2</v>
      </c>
      <c r="Y88" s="214">
        <v>51.2</v>
      </c>
      <c r="Z88" s="214">
        <v>80.95</v>
      </c>
      <c r="AA88" s="207" t="s">
        <v>386</v>
      </c>
      <c r="AB88" s="208" t="s">
        <v>386</v>
      </c>
      <c r="AC88" s="208" t="s">
        <v>386</v>
      </c>
      <c r="AD88" s="208" t="s">
        <v>386</v>
      </c>
      <c r="AE88" s="208" t="s">
        <v>386</v>
      </c>
      <c r="AF88" s="362" t="s">
        <v>386</v>
      </c>
      <c r="AG88" s="363" t="s">
        <v>386</v>
      </c>
      <c r="AH88" s="363" t="s">
        <v>386</v>
      </c>
      <c r="AI88" s="363" t="s">
        <v>386</v>
      </c>
      <c r="AJ88" s="364" t="s">
        <v>386</v>
      </c>
      <c r="AK88" s="208" t="s">
        <v>386</v>
      </c>
      <c r="AL88" s="208" t="s">
        <v>386</v>
      </c>
      <c r="AM88" s="208" t="s">
        <v>386</v>
      </c>
      <c r="AN88" s="208" t="s">
        <v>386</v>
      </c>
      <c r="AO88" s="208" t="s">
        <v>386</v>
      </c>
      <c r="AP88" s="207" t="s">
        <v>386</v>
      </c>
      <c r="AQ88" s="208" t="s">
        <v>386</v>
      </c>
      <c r="AR88" s="208" t="s">
        <v>386</v>
      </c>
      <c r="AS88" s="208" t="s">
        <v>386</v>
      </c>
      <c r="AT88" s="209" t="s">
        <v>386</v>
      </c>
      <c r="AU88" s="208" t="s">
        <v>386</v>
      </c>
      <c r="AV88" s="208" t="s">
        <v>386</v>
      </c>
      <c r="AW88" s="208" t="s">
        <v>386</v>
      </c>
      <c r="AX88" s="208" t="s">
        <v>386</v>
      </c>
      <c r="AY88" s="208" t="s">
        <v>386</v>
      </c>
      <c r="AZ88" s="207" t="s">
        <v>386</v>
      </c>
      <c r="BA88" s="208" t="s">
        <v>386</v>
      </c>
      <c r="BB88" s="208" t="s">
        <v>386</v>
      </c>
      <c r="BC88" s="208" t="s">
        <v>386</v>
      </c>
      <c r="BD88" s="209" t="s">
        <v>386</v>
      </c>
      <c r="BE88" s="208" t="s">
        <v>386</v>
      </c>
      <c r="BF88" s="208" t="s">
        <v>386</v>
      </c>
      <c r="BG88" s="208" t="s">
        <v>386</v>
      </c>
      <c r="BH88" s="208" t="s">
        <v>386</v>
      </c>
      <c r="BI88" s="208" t="s">
        <v>386</v>
      </c>
      <c r="BJ88" s="207" t="s">
        <v>386</v>
      </c>
      <c r="BK88" s="208" t="s">
        <v>386</v>
      </c>
      <c r="BL88" s="208" t="s">
        <v>386</v>
      </c>
      <c r="BM88" s="208" t="s">
        <v>386</v>
      </c>
      <c r="BN88" s="209" t="s">
        <v>386</v>
      </c>
      <c r="BO88" s="208" t="s">
        <v>386</v>
      </c>
      <c r="BP88" s="208" t="s">
        <v>386</v>
      </c>
      <c r="BQ88" s="208" t="s">
        <v>386</v>
      </c>
      <c r="BR88" s="208" t="s">
        <v>386</v>
      </c>
      <c r="BS88" s="209" t="s">
        <v>386</v>
      </c>
      <c r="BT88" s="215" t="s">
        <v>386</v>
      </c>
      <c r="BU88" s="215" t="s">
        <v>386</v>
      </c>
      <c r="BV88" s="215" t="s">
        <v>386</v>
      </c>
      <c r="BW88" s="215" t="s">
        <v>386</v>
      </c>
      <c r="BX88" s="406" t="s">
        <v>386</v>
      </c>
      <c r="BY88" s="215" t="s">
        <v>386</v>
      </c>
      <c r="BZ88" s="215" t="s">
        <v>386</v>
      </c>
      <c r="CA88" s="215" t="s">
        <v>386</v>
      </c>
      <c r="CB88" s="215" t="s">
        <v>386</v>
      </c>
      <c r="CC88" s="215" t="s">
        <v>386</v>
      </c>
      <c r="CD88" s="207" t="s">
        <v>386</v>
      </c>
      <c r="CE88" s="208" t="s">
        <v>386</v>
      </c>
      <c r="CF88" s="208" t="s">
        <v>386</v>
      </c>
      <c r="CG88" s="208" t="s">
        <v>386</v>
      </c>
      <c r="CH88" s="209" t="s">
        <v>386</v>
      </c>
    </row>
    <row r="89" spans="1:86" x14ac:dyDescent="0.25">
      <c r="A89" s="107" t="s">
        <v>172</v>
      </c>
      <c r="B89" s="213">
        <v>49</v>
      </c>
      <c r="C89" s="214">
        <v>47.1</v>
      </c>
      <c r="D89" s="214">
        <v>56.8</v>
      </c>
      <c r="E89" s="214">
        <v>61.38</v>
      </c>
      <c r="F89" s="214">
        <v>43.2</v>
      </c>
      <c r="G89" s="213">
        <v>58.31</v>
      </c>
      <c r="H89" s="214">
        <v>59.41</v>
      </c>
      <c r="I89" s="214">
        <v>58.65</v>
      </c>
      <c r="J89" s="214">
        <v>56.03</v>
      </c>
      <c r="K89" s="217">
        <v>43.87</v>
      </c>
      <c r="L89" s="214">
        <v>208.2</v>
      </c>
      <c r="M89" s="214">
        <v>202.45</v>
      </c>
      <c r="N89" s="214">
        <v>225.62</v>
      </c>
      <c r="O89" s="214">
        <v>211.20000000000002</v>
      </c>
      <c r="P89" s="214">
        <v>167.95999999999998</v>
      </c>
      <c r="Q89" s="207" t="s">
        <v>386</v>
      </c>
      <c r="R89" s="208" t="s">
        <v>386</v>
      </c>
      <c r="S89" s="208" t="s">
        <v>386</v>
      </c>
      <c r="T89" s="208" t="s">
        <v>386</v>
      </c>
      <c r="U89" s="209" t="s">
        <v>386</v>
      </c>
      <c r="V89" s="214">
        <v>82</v>
      </c>
      <c r="W89" s="214">
        <v>74.400000000000006</v>
      </c>
      <c r="X89" s="214">
        <v>89.61</v>
      </c>
      <c r="Y89" s="214">
        <v>106.76</v>
      </c>
      <c r="Z89" s="214">
        <v>88.9</v>
      </c>
      <c r="AA89" s="207" t="s">
        <v>386</v>
      </c>
      <c r="AB89" s="208" t="s">
        <v>386</v>
      </c>
      <c r="AC89" s="208" t="s">
        <v>386</v>
      </c>
      <c r="AD89" s="208" t="s">
        <v>386</v>
      </c>
      <c r="AE89" s="208" t="s">
        <v>386</v>
      </c>
      <c r="AF89" s="362" t="s">
        <v>386</v>
      </c>
      <c r="AG89" s="363" t="s">
        <v>386</v>
      </c>
      <c r="AH89" s="363" t="s">
        <v>386</v>
      </c>
      <c r="AI89" s="363" t="s">
        <v>386</v>
      </c>
      <c r="AJ89" s="364" t="s">
        <v>386</v>
      </c>
      <c r="AK89" s="208" t="s">
        <v>386</v>
      </c>
      <c r="AL89" s="208" t="s">
        <v>386</v>
      </c>
      <c r="AM89" s="208" t="s">
        <v>386</v>
      </c>
      <c r="AN89" s="208" t="s">
        <v>386</v>
      </c>
      <c r="AO89" s="208" t="s">
        <v>386</v>
      </c>
      <c r="AP89" s="207">
        <v>1951</v>
      </c>
      <c r="AQ89" s="208">
        <v>2185.46</v>
      </c>
      <c r="AR89" s="208">
        <v>2593.81</v>
      </c>
      <c r="AS89" s="208">
        <v>2553.84</v>
      </c>
      <c r="AT89" s="209">
        <v>1845.18</v>
      </c>
      <c r="AU89" s="208" t="s">
        <v>386</v>
      </c>
      <c r="AV89" s="208" t="s">
        <v>386</v>
      </c>
      <c r="AW89" s="208" t="s">
        <v>386</v>
      </c>
      <c r="AX89" s="208" t="s">
        <v>386</v>
      </c>
      <c r="AY89" s="208" t="s">
        <v>386</v>
      </c>
      <c r="AZ89" s="207" t="s">
        <v>386</v>
      </c>
      <c r="BA89" s="208" t="s">
        <v>386</v>
      </c>
      <c r="BB89" s="208" t="s">
        <v>386</v>
      </c>
      <c r="BC89" s="208" t="s">
        <v>386</v>
      </c>
      <c r="BD89" s="209" t="s">
        <v>386</v>
      </c>
      <c r="BE89" s="208" t="s">
        <v>386</v>
      </c>
      <c r="BF89" s="208" t="s">
        <v>386</v>
      </c>
      <c r="BG89" s="208" t="s">
        <v>386</v>
      </c>
      <c r="BH89" s="208" t="s">
        <v>386</v>
      </c>
      <c r="BI89" s="208" t="s">
        <v>386</v>
      </c>
      <c r="BJ89" s="207" t="s">
        <v>386</v>
      </c>
      <c r="BK89" s="208" t="s">
        <v>386</v>
      </c>
      <c r="BL89" s="208" t="s">
        <v>386</v>
      </c>
      <c r="BM89" s="208" t="s">
        <v>386</v>
      </c>
      <c r="BN89" s="209" t="s">
        <v>386</v>
      </c>
      <c r="BO89" s="208" t="s">
        <v>386</v>
      </c>
      <c r="BP89" s="208" t="s">
        <v>386</v>
      </c>
      <c r="BQ89" s="208" t="s">
        <v>386</v>
      </c>
      <c r="BR89" s="208" t="s">
        <v>386</v>
      </c>
      <c r="BS89" s="209" t="s">
        <v>386</v>
      </c>
      <c r="BT89" s="215" t="s">
        <v>386</v>
      </c>
      <c r="BU89" s="215" t="s">
        <v>386</v>
      </c>
      <c r="BV89" s="215" t="s">
        <v>386</v>
      </c>
      <c r="BW89" s="215" t="s">
        <v>386</v>
      </c>
      <c r="BX89" s="406" t="s">
        <v>386</v>
      </c>
      <c r="BY89" s="215" t="s">
        <v>386</v>
      </c>
      <c r="BZ89" s="215" t="s">
        <v>386</v>
      </c>
      <c r="CA89" s="215" t="s">
        <v>386</v>
      </c>
      <c r="CB89" s="215" t="s">
        <v>386</v>
      </c>
      <c r="CC89" s="215" t="s">
        <v>386</v>
      </c>
      <c r="CD89" s="207" t="s">
        <v>386</v>
      </c>
      <c r="CE89" s="208" t="s">
        <v>386</v>
      </c>
      <c r="CF89" s="208" t="s">
        <v>386</v>
      </c>
      <c r="CG89" s="208" t="s">
        <v>386</v>
      </c>
      <c r="CH89" s="209" t="s">
        <v>386</v>
      </c>
    </row>
    <row r="90" spans="1:86" x14ac:dyDescent="0.25">
      <c r="A90" s="107" t="s">
        <v>117</v>
      </c>
      <c r="B90" s="213">
        <v>34.4</v>
      </c>
      <c r="C90" s="214">
        <v>35.200000000000003</v>
      </c>
      <c r="D90" s="214">
        <v>50.12</v>
      </c>
      <c r="E90" s="214">
        <v>68.56</v>
      </c>
      <c r="F90" s="214">
        <v>69.959999999999994</v>
      </c>
      <c r="G90" s="213">
        <v>46.54</v>
      </c>
      <c r="H90" s="214">
        <v>32.65</v>
      </c>
      <c r="I90" s="214">
        <v>40.82</v>
      </c>
      <c r="J90" s="214">
        <v>39.200000000000003</v>
      </c>
      <c r="K90" s="217">
        <v>39.89</v>
      </c>
      <c r="L90" s="214">
        <v>188.70000000000002</v>
      </c>
      <c r="M90" s="214">
        <v>122.15</v>
      </c>
      <c r="N90" s="214">
        <v>165.03</v>
      </c>
      <c r="O90" s="214">
        <v>149.61000000000001</v>
      </c>
      <c r="P90" s="214">
        <v>172.58</v>
      </c>
      <c r="Q90" s="213">
        <v>49.2</v>
      </c>
      <c r="R90" s="214">
        <v>61</v>
      </c>
      <c r="S90" s="214">
        <v>65.599999999999994</v>
      </c>
      <c r="T90" s="214">
        <v>86.51</v>
      </c>
      <c r="U90" s="217">
        <v>85.65</v>
      </c>
      <c r="V90" s="214">
        <v>43.7</v>
      </c>
      <c r="W90" s="214">
        <v>40.799999999999997</v>
      </c>
      <c r="X90" s="214">
        <v>43</v>
      </c>
      <c r="Y90" s="214">
        <v>40.799999999999997</v>
      </c>
      <c r="Z90" s="214">
        <v>62.81</v>
      </c>
      <c r="AA90" s="207" t="s">
        <v>386</v>
      </c>
      <c r="AB90" s="208" t="s">
        <v>386</v>
      </c>
      <c r="AC90" s="208" t="s">
        <v>386</v>
      </c>
      <c r="AD90" s="208" t="s">
        <v>386</v>
      </c>
      <c r="AE90" s="208" t="s">
        <v>386</v>
      </c>
      <c r="AF90" s="362" t="s">
        <v>386</v>
      </c>
      <c r="AG90" s="363" t="s">
        <v>386</v>
      </c>
      <c r="AH90" s="363" t="s">
        <v>386</v>
      </c>
      <c r="AI90" s="363" t="s">
        <v>386</v>
      </c>
      <c r="AJ90" s="364" t="s">
        <v>386</v>
      </c>
      <c r="AK90" s="208" t="s">
        <v>386</v>
      </c>
      <c r="AL90" s="208" t="s">
        <v>386</v>
      </c>
      <c r="AM90" s="208" t="s">
        <v>386</v>
      </c>
      <c r="AN90" s="208" t="s">
        <v>386</v>
      </c>
      <c r="AO90" s="208" t="s">
        <v>386</v>
      </c>
      <c r="AP90" s="207" t="s">
        <v>386</v>
      </c>
      <c r="AQ90" s="208" t="s">
        <v>386</v>
      </c>
      <c r="AR90" s="208" t="s">
        <v>386</v>
      </c>
      <c r="AS90" s="208" t="s">
        <v>386</v>
      </c>
      <c r="AT90" s="209" t="s">
        <v>386</v>
      </c>
      <c r="AU90" s="208" t="s">
        <v>386</v>
      </c>
      <c r="AV90" s="208" t="s">
        <v>386</v>
      </c>
      <c r="AW90" s="208" t="s">
        <v>386</v>
      </c>
      <c r="AX90" s="208" t="s">
        <v>386</v>
      </c>
      <c r="AY90" s="208" t="s">
        <v>386</v>
      </c>
      <c r="AZ90" s="207" t="s">
        <v>386</v>
      </c>
      <c r="BA90" s="208" t="s">
        <v>386</v>
      </c>
      <c r="BB90" s="208" t="s">
        <v>386</v>
      </c>
      <c r="BC90" s="208" t="s">
        <v>386</v>
      </c>
      <c r="BD90" s="209" t="s">
        <v>386</v>
      </c>
      <c r="BE90" s="208" t="s">
        <v>386</v>
      </c>
      <c r="BF90" s="208" t="s">
        <v>386</v>
      </c>
      <c r="BG90" s="208" t="s">
        <v>386</v>
      </c>
      <c r="BH90" s="208" t="s">
        <v>386</v>
      </c>
      <c r="BI90" s="208" t="s">
        <v>386</v>
      </c>
      <c r="BJ90" s="207" t="s">
        <v>386</v>
      </c>
      <c r="BK90" s="208" t="s">
        <v>386</v>
      </c>
      <c r="BL90" s="208" t="s">
        <v>386</v>
      </c>
      <c r="BM90" s="208" t="s">
        <v>386</v>
      </c>
      <c r="BN90" s="209" t="s">
        <v>386</v>
      </c>
      <c r="BO90" s="208" t="s">
        <v>386</v>
      </c>
      <c r="BP90" s="208" t="s">
        <v>386</v>
      </c>
      <c r="BQ90" s="208" t="s">
        <v>386</v>
      </c>
      <c r="BR90" s="208" t="s">
        <v>386</v>
      </c>
      <c r="BS90" s="209" t="s">
        <v>386</v>
      </c>
      <c r="BT90" s="215" t="s">
        <v>386</v>
      </c>
      <c r="BU90" s="215" t="s">
        <v>386</v>
      </c>
      <c r="BV90" s="215" t="s">
        <v>386</v>
      </c>
      <c r="BW90" s="215" t="s">
        <v>386</v>
      </c>
      <c r="BX90" s="406" t="s">
        <v>386</v>
      </c>
      <c r="BY90" s="215" t="s">
        <v>386</v>
      </c>
      <c r="BZ90" s="215" t="s">
        <v>386</v>
      </c>
      <c r="CA90" s="215" t="s">
        <v>386</v>
      </c>
      <c r="CB90" s="215" t="s">
        <v>386</v>
      </c>
      <c r="CC90" s="215" t="s">
        <v>386</v>
      </c>
      <c r="CD90" s="207" t="s">
        <v>386</v>
      </c>
      <c r="CE90" s="208" t="s">
        <v>386</v>
      </c>
      <c r="CF90" s="208" t="s">
        <v>386</v>
      </c>
      <c r="CG90" s="208" t="s">
        <v>386</v>
      </c>
      <c r="CH90" s="209" t="s">
        <v>386</v>
      </c>
    </row>
    <row r="91" spans="1:86" x14ac:dyDescent="0.25">
      <c r="A91" s="107" t="s">
        <v>118</v>
      </c>
      <c r="B91" s="213">
        <v>41.5</v>
      </c>
      <c r="C91" s="214">
        <v>66.7</v>
      </c>
      <c r="D91" s="214">
        <v>44.57</v>
      </c>
      <c r="E91" s="214">
        <v>59.32</v>
      </c>
      <c r="F91" s="214">
        <v>38.9</v>
      </c>
      <c r="G91" s="213">
        <v>55.949999999999996</v>
      </c>
      <c r="H91" s="214">
        <v>51.05</v>
      </c>
      <c r="I91" s="214">
        <v>54.14</v>
      </c>
      <c r="J91" s="214">
        <v>56.39</v>
      </c>
      <c r="K91" s="217">
        <v>47.77</v>
      </c>
      <c r="L91" s="214">
        <v>216</v>
      </c>
      <c r="M91" s="214">
        <v>186.62</v>
      </c>
      <c r="N91" s="214">
        <v>214.24</v>
      </c>
      <c r="O91" s="214">
        <v>214.86</v>
      </c>
      <c r="P91" s="214">
        <v>179.79</v>
      </c>
      <c r="Q91" s="213">
        <v>72</v>
      </c>
      <c r="R91" s="214">
        <v>61</v>
      </c>
      <c r="S91" s="214">
        <v>61</v>
      </c>
      <c r="T91" s="214">
        <v>86.51</v>
      </c>
      <c r="U91" s="217">
        <v>85.65</v>
      </c>
      <c r="V91" s="214">
        <v>57.2</v>
      </c>
      <c r="W91" s="214">
        <v>56.8</v>
      </c>
      <c r="X91" s="214">
        <v>61.4</v>
      </c>
      <c r="Y91" s="214">
        <v>80.17</v>
      </c>
      <c r="Z91" s="214">
        <v>60.8</v>
      </c>
      <c r="AA91" s="207" t="s">
        <v>386</v>
      </c>
      <c r="AB91" s="208" t="s">
        <v>386</v>
      </c>
      <c r="AC91" s="208" t="s">
        <v>386</v>
      </c>
      <c r="AD91" s="208" t="s">
        <v>386</v>
      </c>
      <c r="AE91" s="208" t="s">
        <v>386</v>
      </c>
      <c r="AF91" s="229">
        <v>71</v>
      </c>
      <c r="AG91" s="220">
        <v>94</v>
      </c>
      <c r="AH91" s="220">
        <v>81.83</v>
      </c>
      <c r="AI91" s="220">
        <v>88.21</v>
      </c>
      <c r="AJ91" s="224">
        <v>79.52</v>
      </c>
      <c r="AK91" s="208" t="s">
        <v>386</v>
      </c>
      <c r="AL91" s="208" t="s">
        <v>386</v>
      </c>
      <c r="AM91" s="208" t="s">
        <v>386</v>
      </c>
      <c r="AN91" s="208" t="s">
        <v>386</v>
      </c>
      <c r="AO91" s="208" t="s">
        <v>386</v>
      </c>
      <c r="AP91" s="207" t="s">
        <v>386</v>
      </c>
      <c r="AQ91" s="208" t="s">
        <v>386</v>
      </c>
      <c r="AR91" s="208" t="s">
        <v>386</v>
      </c>
      <c r="AS91" s="208" t="s">
        <v>386</v>
      </c>
      <c r="AT91" s="209" t="s">
        <v>386</v>
      </c>
      <c r="AU91" s="208" t="s">
        <v>386</v>
      </c>
      <c r="AV91" s="208" t="s">
        <v>386</v>
      </c>
      <c r="AW91" s="208" t="s">
        <v>386</v>
      </c>
      <c r="AX91" s="208" t="s">
        <v>386</v>
      </c>
      <c r="AY91" s="208" t="s">
        <v>386</v>
      </c>
      <c r="AZ91" s="207" t="s">
        <v>386</v>
      </c>
      <c r="BA91" s="208" t="s">
        <v>386</v>
      </c>
      <c r="BB91" s="208" t="s">
        <v>386</v>
      </c>
      <c r="BC91" s="208" t="s">
        <v>386</v>
      </c>
      <c r="BD91" s="209" t="s">
        <v>386</v>
      </c>
      <c r="BE91" s="208" t="s">
        <v>386</v>
      </c>
      <c r="BF91" s="208" t="s">
        <v>386</v>
      </c>
      <c r="BG91" s="208" t="s">
        <v>386</v>
      </c>
      <c r="BH91" s="208" t="s">
        <v>386</v>
      </c>
      <c r="BI91" s="208" t="s">
        <v>386</v>
      </c>
      <c r="BJ91" s="207" t="s">
        <v>386</v>
      </c>
      <c r="BK91" s="208" t="s">
        <v>386</v>
      </c>
      <c r="BL91" s="208" t="s">
        <v>386</v>
      </c>
      <c r="BM91" s="208" t="s">
        <v>386</v>
      </c>
      <c r="BN91" s="209" t="s">
        <v>386</v>
      </c>
      <c r="BO91" s="208" t="s">
        <v>386</v>
      </c>
      <c r="BP91" s="208" t="s">
        <v>386</v>
      </c>
      <c r="BQ91" s="208" t="s">
        <v>386</v>
      </c>
      <c r="BR91" s="208" t="s">
        <v>386</v>
      </c>
      <c r="BS91" s="209" t="s">
        <v>386</v>
      </c>
      <c r="BT91" s="215" t="s">
        <v>386</v>
      </c>
      <c r="BU91" s="215" t="s">
        <v>386</v>
      </c>
      <c r="BV91" s="215" t="s">
        <v>386</v>
      </c>
      <c r="BW91" s="215" t="s">
        <v>386</v>
      </c>
      <c r="BX91" s="406" t="s">
        <v>386</v>
      </c>
      <c r="BY91" s="215" t="s">
        <v>386</v>
      </c>
      <c r="BZ91" s="215" t="s">
        <v>386</v>
      </c>
      <c r="CA91" s="215" t="s">
        <v>386</v>
      </c>
      <c r="CB91" s="215" t="s">
        <v>386</v>
      </c>
      <c r="CC91" s="215" t="s">
        <v>386</v>
      </c>
      <c r="CD91" s="207" t="s">
        <v>386</v>
      </c>
      <c r="CE91" s="208" t="s">
        <v>386</v>
      </c>
      <c r="CF91" s="208" t="s">
        <v>386</v>
      </c>
      <c r="CG91" s="208" t="s">
        <v>386</v>
      </c>
      <c r="CH91" s="209" t="s">
        <v>386</v>
      </c>
    </row>
    <row r="92" spans="1:86" x14ac:dyDescent="0.25">
      <c r="A92" s="107" t="s">
        <v>119</v>
      </c>
      <c r="B92" s="213">
        <v>49.769999999999996</v>
      </c>
      <c r="C92" s="214">
        <v>55.49</v>
      </c>
      <c r="D92" s="214">
        <v>76.649999999999991</v>
      </c>
      <c r="E92" s="214">
        <v>73.41</v>
      </c>
      <c r="F92" s="214">
        <v>86.64</v>
      </c>
      <c r="G92" s="213">
        <v>32.5</v>
      </c>
      <c r="H92" s="214">
        <v>27.650000000000002</v>
      </c>
      <c r="I92" s="214">
        <v>46.83</v>
      </c>
      <c r="J92" s="214">
        <v>39.659999999999997</v>
      </c>
      <c r="K92" s="217">
        <v>44.8</v>
      </c>
      <c r="L92" s="214">
        <v>105.78</v>
      </c>
      <c r="M92" s="214">
        <v>109.83000000000001</v>
      </c>
      <c r="N92" s="214">
        <v>162.6</v>
      </c>
      <c r="O92" s="214">
        <v>146.20999999999998</v>
      </c>
      <c r="P92" s="214">
        <v>164.52</v>
      </c>
      <c r="Q92" s="213">
        <v>59.86</v>
      </c>
      <c r="R92" s="214">
        <v>90.48</v>
      </c>
      <c r="S92" s="214">
        <v>96.18</v>
      </c>
      <c r="T92" s="214">
        <v>102.99</v>
      </c>
      <c r="U92" s="217">
        <v>99.25</v>
      </c>
      <c r="V92" s="214">
        <v>39.200000000000003</v>
      </c>
      <c r="W92" s="214">
        <v>42.4</v>
      </c>
      <c r="X92" s="214">
        <v>96.51</v>
      </c>
      <c r="Y92" s="214">
        <v>80.14</v>
      </c>
      <c r="Z92" s="214">
        <v>115.78</v>
      </c>
      <c r="AA92" s="213">
        <v>16.3</v>
      </c>
      <c r="AB92" s="214">
        <v>18.899999999999999</v>
      </c>
      <c r="AC92" s="214">
        <v>31.94</v>
      </c>
      <c r="AD92" s="214">
        <v>20.38</v>
      </c>
      <c r="AE92" s="214">
        <v>25.02</v>
      </c>
      <c r="AF92" s="362" t="s">
        <v>386</v>
      </c>
      <c r="AG92" s="363" t="s">
        <v>386</v>
      </c>
      <c r="AH92" s="363" t="s">
        <v>386</v>
      </c>
      <c r="AI92" s="363" t="s">
        <v>386</v>
      </c>
      <c r="AJ92" s="364" t="s">
        <v>386</v>
      </c>
      <c r="AK92" s="214">
        <v>1535.1</v>
      </c>
      <c r="AL92" s="214">
        <v>1677.18</v>
      </c>
      <c r="AM92" s="214">
        <v>2796.75</v>
      </c>
      <c r="AN92" s="214">
        <v>2848.1400000000003</v>
      </c>
      <c r="AO92" s="214">
        <v>2462.3199999999997</v>
      </c>
      <c r="AP92" s="213">
        <v>1749.9499999999998</v>
      </c>
      <c r="AQ92" s="214">
        <v>2090.62</v>
      </c>
      <c r="AR92" s="214">
        <v>2615.9900000000002</v>
      </c>
      <c r="AS92" s="214">
        <v>2570.1200000000003</v>
      </c>
      <c r="AT92" s="217">
        <v>1457.8</v>
      </c>
      <c r="AU92" s="214">
        <v>2398</v>
      </c>
      <c r="AV92" s="214">
        <v>1520</v>
      </c>
      <c r="AW92" s="214">
        <v>2058.5</v>
      </c>
      <c r="AX92" s="214">
        <v>2300</v>
      </c>
      <c r="AY92" s="214">
        <v>2431</v>
      </c>
      <c r="AZ92" s="207" t="s">
        <v>386</v>
      </c>
      <c r="BA92" s="208" t="s">
        <v>386</v>
      </c>
      <c r="BB92" s="208" t="s">
        <v>386</v>
      </c>
      <c r="BC92" s="208" t="s">
        <v>386</v>
      </c>
      <c r="BD92" s="209" t="s">
        <v>386</v>
      </c>
      <c r="BE92" s="208" t="s">
        <v>386</v>
      </c>
      <c r="BF92" s="208" t="s">
        <v>386</v>
      </c>
      <c r="BG92" s="208" t="s">
        <v>386</v>
      </c>
      <c r="BH92" s="208" t="s">
        <v>386</v>
      </c>
      <c r="BI92" s="208" t="s">
        <v>386</v>
      </c>
      <c r="BJ92" s="207" t="s">
        <v>386</v>
      </c>
      <c r="BK92" s="208" t="s">
        <v>386</v>
      </c>
      <c r="BL92" s="208" t="s">
        <v>386</v>
      </c>
      <c r="BM92" s="208" t="s">
        <v>386</v>
      </c>
      <c r="BN92" s="209" t="s">
        <v>386</v>
      </c>
      <c r="BO92" s="208" t="s">
        <v>386</v>
      </c>
      <c r="BP92" s="208" t="s">
        <v>386</v>
      </c>
      <c r="BQ92" s="208" t="s">
        <v>386</v>
      </c>
      <c r="BR92" s="208" t="s">
        <v>386</v>
      </c>
      <c r="BS92" s="209" t="s">
        <v>386</v>
      </c>
      <c r="BT92" s="215" t="s">
        <v>386</v>
      </c>
      <c r="BU92" s="215" t="s">
        <v>386</v>
      </c>
      <c r="BV92" s="215" t="s">
        <v>386</v>
      </c>
      <c r="BW92" s="215" t="s">
        <v>386</v>
      </c>
      <c r="BX92" s="406" t="s">
        <v>386</v>
      </c>
      <c r="BY92" s="215" t="s">
        <v>386</v>
      </c>
      <c r="BZ92" s="215" t="s">
        <v>386</v>
      </c>
      <c r="CA92" s="215" t="s">
        <v>386</v>
      </c>
      <c r="CB92" s="215" t="s">
        <v>386</v>
      </c>
      <c r="CC92" s="215" t="s">
        <v>386</v>
      </c>
      <c r="CD92" s="207" t="s">
        <v>386</v>
      </c>
      <c r="CE92" s="208" t="s">
        <v>386</v>
      </c>
      <c r="CF92" s="208" t="s">
        <v>386</v>
      </c>
      <c r="CG92" s="208" t="s">
        <v>386</v>
      </c>
      <c r="CH92" s="209" t="s">
        <v>386</v>
      </c>
    </row>
    <row r="93" spans="1:86" x14ac:dyDescent="0.25">
      <c r="A93" s="107" t="s">
        <v>120</v>
      </c>
      <c r="B93" s="213">
        <v>47.5</v>
      </c>
      <c r="C93" s="214">
        <v>51.61</v>
      </c>
      <c r="D93" s="214">
        <v>57.7</v>
      </c>
      <c r="E93" s="214">
        <v>43.46</v>
      </c>
      <c r="F93" s="214">
        <v>41.54</v>
      </c>
      <c r="G93" s="213">
        <v>37.53</v>
      </c>
      <c r="H93" s="214">
        <v>34.46</v>
      </c>
      <c r="I93" s="214">
        <v>36.450000000000003</v>
      </c>
      <c r="J93" s="214">
        <v>36.24</v>
      </c>
      <c r="K93" s="217">
        <v>26.4</v>
      </c>
      <c r="L93" s="214">
        <v>115.6</v>
      </c>
      <c r="M93" s="214">
        <v>106.97</v>
      </c>
      <c r="N93" s="214">
        <v>149.19999999999999</v>
      </c>
      <c r="O93" s="214">
        <v>199.68</v>
      </c>
      <c r="P93" s="214">
        <v>78.09</v>
      </c>
      <c r="Q93" s="213">
        <v>56.8</v>
      </c>
      <c r="R93" s="214">
        <v>61</v>
      </c>
      <c r="S93" s="214">
        <v>77.2</v>
      </c>
      <c r="T93" s="214">
        <v>86.51</v>
      </c>
      <c r="U93" s="217">
        <v>85.65</v>
      </c>
      <c r="V93" s="214">
        <v>90.7</v>
      </c>
      <c r="W93" s="214">
        <v>53.6</v>
      </c>
      <c r="X93" s="214">
        <v>62.6</v>
      </c>
      <c r="Y93" s="214">
        <v>78.650000000000006</v>
      </c>
      <c r="Z93" s="214">
        <v>80.95</v>
      </c>
      <c r="AA93" s="207" t="s">
        <v>386</v>
      </c>
      <c r="AB93" s="208" t="s">
        <v>386</v>
      </c>
      <c r="AC93" s="208" t="s">
        <v>386</v>
      </c>
      <c r="AD93" s="208" t="s">
        <v>386</v>
      </c>
      <c r="AE93" s="208" t="s">
        <v>386</v>
      </c>
      <c r="AF93" s="362" t="s">
        <v>386</v>
      </c>
      <c r="AG93" s="363" t="s">
        <v>386</v>
      </c>
      <c r="AH93" s="363" t="s">
        <v>386</v>
      </c>
      <c r="AI93" s="363" t="s">
        <v>386</v>
      </c>
      <c r="AJ93" s="364" t="s">
        <v>386</v>
      </c>
      <c r="AK93" s="208">
        <v>1411</v>
      </c>
      <c r="AL93" s="208">
        <v>1362</v>
      </c>
      <c r="AM93" s="208">
        <v>2053</v>
      </c>
      <c r="AN93" s="208">
        <v>2614.17</v>
      </c>
      <c r="AO93" s="208">
        <v>1793.25</v>
      </c>
      <c r="AP93" s="213">
        <v>1903</v>
      </c>
      <c r="AQ93" s="214">
        <v>2185.46</v>
      </c>
      <c r="AR93" s="214">
        <v>2593.81</v>
      </c>
      <c r="AS93" s="214">
        <v>2553.84</v>
      </c>
      <c r="AT93" s="217">
        <v>1845.18</v>
      </c>
      <c r="AU93" s="208" t="s">
        <v>386</v>
      </c>
      <c r="AV93" s="208" t="s">
        <v>386</v>
      </c>
      <c r="AW93" s="208" t="s">
        <v>386</v>
      </c>
      <c r="AX93" s="208" t="s">
        <v>386</v>
      </c>
      <c r="AY93" s="208" t="s">
        <v>386</v>
      </c>
      <c r="AZ93" s="207" t="s">
        <v>386</v>
      </c>
      <c r="BA93" s="208" t="s">
        <v>386</v>
      </c>
      <c r="BB93" s="208" t="s">
        <v>386</v>
      </c>
      <c r="BC93" s="208" t="s">
        <v>386</v>
      </c>
      <c r="BD93" s="209" t="s">
        <v>386</v>
      </c>
      <c r="BE93" s="208" t="s">
        <v>386</v>
      </c>
      <c r="BF93" s="208" t="s">
        <v>386</v>
      </c>
      <c r="BG93" s="208" t="s">
        <v>386</v>
      </c>
      <c r="BH93" s="208" t="s">
        <v>386</v>
      </c>
      <c r="BI93" s="208" t="s">
        <v>386</v>
      </c>
      <c r="BJ93" s="207" t="s">
        <v>386</v>
      </c>
      <c r="BK93" s="208" t="s">
        <v>386</v>
      </c>
      <c r="BL93" s="208" t="s">
        <v>386</v>
      </c>
      <c r="BM93" s="208" t="s">
        <v>386</v>
      </c>
      <c r="BN93" s="209" t="s">
        <v>386</v>
      </c>
      <c r="BO93" s="208" t="s">
        <v>386</v>
      </c>
      <c r="BP93" s="208" t="s">
        <v>386</v>
      </c>
      <c r="BQ93" s="208" t="s">
        <v>386</v>
      </c>
      <c r="BR93" s="208" t="s">
        <v>386</v>
      </c>
      <c r="BS93" s="209" t="s">
        <v>386</v>
      </c>
      <c r="BT93" s="215" t="s">
        <v>386</v>
      </c>
      <c r="BU93" s="215" t="s">
        <v>386</v>
      </c>
      <c r="BV93" s="215" t="s">
        <v>386</v>
      </c>
      <c r="BW93" s="215" t="s">
        <v>386</v>
      </c>
      <c r="BX93" s="406" t="s">
        <v>386</v>
      </c>
      <c r="BY93" s="215" t="s">
        <v>386</v>
      </c>
      <c r="BZ93" s="215" t="s">
        <v>386</v>
      </c>
      <c r="CA93" s="215" t="s">
        <v>386</v>
      </c>
      <c r="CB93" s="215" t="s">
        <v>386</v>
      </c>
      <c r="CC93" s="215" t="s">
        <v>386</v>
      </c>
      <c r="CD93" s="207" t="s">
        <v>386</v>
      </c>
      <c r="CE93" s="208" t="s">
        <v>386</v>
      </c>
      <c r="CF93" s="208" t="s">
        <v>386</v>
      </c>
      <c r="CG93" s="208" t="s">
        <v>386</v>
      </c>
      <c r="CH93" s="209" t="s">
        <v>386</v>
      </c>
    </row>
    <row r="94" spans="1:86" x14ac:dyDescent="0.25">
      <c r="A94" s="107" t="s">
        <v>121</v>
      </c>
      <c r="B94" s="213">
        <v>49.35</v>
      </c>
      <c r="C94" s="214">
        <v>43.74</v>
      </c>
      <c r="D94" s="214">
        <v>40.74</v>
      </c>
      <c r="E94" s="214">
        <v>63.529999999999994</v>
      </c>
      <c r="F94" s="214">
        <v>36.14</v>
      </c>
      <c r="G94" s="213">
        <v>55.37</v>
      </c>
      <c r="H94" s="214">
        <v>58.04</v>
      </c>
      <c r="I94" s="214">
        <v>48.5</v>
      </c>
      <c r="J94" s="214">
        <v>51.199999999999996</v>
      </c>
      <c r="K94" s="217">
        <v>50.7</v>
      </c>
      <c r="L94" s="214">
        <v>205.38</v>
      </c>
      <c r="M94" s="214">
        <v>203.94</v>
      </c>
      <c r="N94" s="214">
        <v>199.69000000000003</v>
      </c>
      <c r="O94" s="214">
        <v>190.25</v>
      </c>
      <c r="P94" s="214">
        <v>189.67</v>
      </c>
      <c r="Q94" s="213">
        <v>70.900000000000006</v>
      </c>
      <c r="R94" s="214">
        <v>61</v>
      </c>
      <c r="S94" s="214">
        <v>76.5</v>
      </c>
      <c r="T94" s="214">
        <v>86.51</v>
      </c>
      <c r="U94" s="217">
        <v>61</v>
      </c>
      <c r="V94" s="214">
        <v>57.2</v>
      </c>
      <c r="W94" s="214">
        <v>50.5</v>
      </c>
      <c r="X94" s="214">
        <v>111.7</v>
      </c>
      <c r="Y94" s="214">
        <v>58.74</v>
      </c>
      <c r="Z94" s="214">
        <v>67.94</v>
      </c>
      <c r="AA94" s="207">
        <v>16.3</v>
      </c>
      <c r="AB94" s="208">
        <v>18.899999999999999</v>
      </c>
      <c r="AC94" s="208">
        <v>31.94</v>
      </c>
      <c r="AD94" s="208">
        <v>20.38</v>
      </c>
      <c r="AE94" s="208">
        <v>25.02</v>
      </c>
      <c r="AF94" s="229">
        <v>71</v>
      </c>
      <c r="AG94" s="220">
        <v>94</v>
      </c>
      <c r="AH94" s="220">
        <v>81.83</v>
      </c>
      <c r="AI94" s="220">
        <v>88.21</v>
      </c>
      <c r="AJ94" s="224">
        <v>79.52</v>
      </c>
      <c r="AK94" s="214">
        <v>1411</v>
      </c>
      <c r="AL94" s="214">
        <v>1362</v>
      </c>
      <c r="AM94" s="214">
        <v>2140</v>
      </c>
      <c r="AN94" s="214">
        <v>2614.17</v>
      </c>
      <c r="AO94" s="214">
        <v>1573.15</v>
      </c>
      <c r="AP94" s="213">
        <v>2143</v>
      </c>
      <c r="AQ94" s="214">
        <v>2185.46</v>
      </c>
      <c r="AR94" s="214">
        <v>2593.81</v>
      </c>
      <c r="AS94" s="214">
        <v>2553.84</v>
      </c>
      <c r="AT94" s="217">
        <v>1845.18</v>
      </c>
      <c r="AU94" s="208">
        <v>2398</v>
      </c>
      <c r="AV94" s="208">
        <v>1520</v>
      </c>
      <c r="AW94" s="208">
        <v>2058.5</v>
      </c>
      <c r="AX94" s="208">
        <v>2300</v>
      </c>
      <c r="AY94" s="208">
        <v>2431</v>
      </c>
      <c r="AZ94" s="207" t="s">
        <v>386</v>
      </c>
      <c r="BA94" s="208" t="s">
        <v>386</v>
      </c>
      <c r="BB94" s="208" t="s">
        <v>386</v>
      </c>
      <c r="BC94" s="208" t="s">
        <v>386</v>
      </c>
      <c r="BD94" s="209" t="s">
        <v>386</v>
      </c>
      <c r="BE94" s="208" t="s">
        <v>386</v>
      </c>
      <c r="BF94" s="208" t="s">
        <v>386</v>
      </c>
      <c r="BG94" s="208" t="s">
        <v>386</v>
      </c>
      <c r="BH94" s="208" t="s">
        <v>386</v>
      </c>
      <c r="BI94" s="208" t="s">
        <v>386</v>
      </c>
      <c r="BJ94" s="207" t="s">
        <v>386</v>
      </c>
      <c r="BK94" s="208" t="s">
        <v>386</v>
      </c>
      <c r="BL94" s="208" t="s">
        <v>386</v>
      </c>
      <c r="BM94" s="208" t="s">
        <v>386</v>
      </c>
      <c r="BN94" s="209" t="s">
        <v>386</v>
      </c>
      <c r="BO94" s="208" t="s">
        <v>386</v>
      </c>
      <c r="BP94" s="208" t="s">
        <v>386</v>
      </c>
      <c r="BQ94" s="208" t="s">
        <v>386</v>
      </c>
      <c r="BR94" s="208" t="s">
        <v>386</v>
      </c>
      <c r="BS94" s="209" t="s">
        <v>386</v>
      </c>
      <c r="BT94" s="215" t="s">
        <v>386</v>
      </c>
      <c r="BU94" s="215" t="s">
        <v>386</v>
      </c>
      <c r="BV94" s="215" t="s">
        <v>386</v>
      </c>
      <c r="BW94" s="215" t="s">
        <v>386</v>
      </c>
      <c r="BX94" s="406" t="s">
        <v>386</v>
      </c>
      <c r="BY94" s="215" t="s">
        <v>386</v>
      </c>
      <c r="BZ94" s="215" t="s">
        <v>386</v>
      </c>
      <c r="CA94" s="215" t="s">
        <v>386</v>
      </c>
      <c r="CB94" s="215" t="s">
        <v>386</v>
      </c>
      <c r="CC94" s="215" t="s">
        <v>386</v>
      </c>
      <c r="CD94" s="207" t="s">
        <v>386</v>
      </c>
      <c r="CE94" s="208" t="s">
        <v>386</v>
      </c>
      <c r="CF94" s="208" t="s">
        <v>386</v>
      </c>
      <c r="CG94" s="208" t="s">
        <v>386</v>
      </c>
      <c r="CH94" s="209" t="s">
        <v>386</v>
      </c>
    </row>
    <row r="95" spans="1:86" x14ac:dyDescent="0.25">
      <c r="A95" s="107" t="s">
        <v>122</v>
      </c>
      <c r="B95" s="213">
        <v>72.05</v>
      </c>
      <c r="C95" s="214">
        <v>69.75</v>
      </c>
      <c r="D95" s="214">
        <v>62.11</v>
      </c>
      <c r="E95" s="214">
        <v>71.31</v>
      </c>
      <c r="F95" s="214">
        <v>66.309999999999988</v>
      </c>
      <c r="G95" s="213">
        <v>40.549999999999997</v>
      </c>
      <c r="H95" s="214">
        <v>31.21</v>
      </c>
      <c r="I95" s="214">
        <v>37.39</v>
      </c>
      <c r="J95" s="214">
        <v>37.58</v>
      </c>
      <c r="K95" s="217">
        <v>37.869999999999997</v>
      </c>
      <c r="L95" s="214">
        <v>90</v>
      </c>
      <c r="M95" s="214">
        <v>93</v>
      </c>
      <c r="N95" s="214">
        <v>179.1</v>
      </c>
      <c r="O95" s="214">
        <v>171.21</v>
      </c>
      <c r="P95" s="214">
        <v>127.55</v>
      </c>
      <c r="Q95" s="213">
        <v>53.5</v>
      </c>
      <c r="R95" s="214">
        <v>61</v>
      </c>
      <c r="S95" s="214">
        <v>85.1</v>
      </c>
      <c r="T95" s="214">
        <v>116.43</v>
      </c>
      <c r="U95" s="217">
        <v>85.65</v>
      </c>
      <c r="V95" s="214">
        <v>89.55</v>
      </c>
      <c r="W95" s="214">
        <v>54.2</v>
      </c>
      <c r="X95" s="214">
        <v>118.3</v>
      </c>
      <c r="Y95" s="214">
        <v>108.14</v>
      </c>
      <c r="Z95" s="214">
        <v>141.79</v>
      </c>
      <c r="AA95" s="213">
        <v>16.3</v>
      </c>
      <c r="AB95" s="214">
        <v>18.899999999999999</v>
      </c>
      <c r="AC95" s="214">
        <v>31.94</v>
      </c>
      <c r="AD95" s="214">
        <v>20.38</v>
      </c>
      <c r="AE95" s="214">
        <v>25.02</v>
      </c>
      <c r="AF95" s="362" t="s">
        <v>386</v>
      </c>
      <c r="AG95" s="363" t="s">
        <v>386</v>
      </c>
      <c r="AH95" s="363" t="s">
        <v>386</v>
      </c>
      <c r="AI95" s="363" t="s">
        <v>386</v>
      </c>
      <c r="AJ95" s="364" t="s">
        <v>386</v>
      </c>
      <c r="AK95" s="214">
        <v>1666.72</v>
      </c>
      <c r="AL95" s="214">
        <v>1575.1</v>
      </c>
      <c r="AM95" s="214">
        <v>2373.48</v>
      </c>
      <c r="AN95" s="214">
        <v>1799.57</v>
      </c>
      <c r="AO95" s="214">
        <v>1878.49</v>
      </c>
      <c r="AP95" s="213">
        <v>2551.67</v>
      </c>
      <c r="AQ95" s="214">
        <v>2376.14</v>
      </c>
      <c r="AR95" s="214">
        <v>2593.81</v>
      </c>
      <c r="AS95" s="214">
        <v>2553.84</v>
      </c>
      <c r="AT95" s="217">
        <v>1845.18</v>
      </c>
      <c r="AU95" s="208" t="s">
        <v>386</v>
      </c>
      <c r="AV95" s="208" t="s">
        <v>386</v>
      </c>
      <c r="AW95" s="208" t="s">
        <v>386</v>
      </c>
      <c r="AX95" s="208" t="s">
        <v>386</v>
      </c>
      <c r="AY95" s="208" t="s">
        <v>386</v>
      </c>
      <c r="AZ95" s="207" t="s">
        <v>386</v>
      </c>
      <c r="BA95" s="208" t="s">
        <v>386</v>
      </c>
      <c r="BB95" s="208" t="s">
        <v>386</v>
      </c>
      <c r="BC95" s="208" t="s">
        <v>386</v>
      </c>
      <c r="BD95" s="209" t="s">
        <v>386</v>
      </c>
      <c r="BE95" s="208" t="s">
        <v>386</v>
      </c>
      <c r="BF95" s="208" t="s">
        <v>386</v>
      </c>
      <c r="BG95" s="208" t="s">
        <v>386</v>
      </c>
      <c r="BH95" s="208" t="s">
        <v>386</v>
      </c>
      <c r="BI95" s="208" t="s">
        <v>386</v>
      </c>
      <c r="BJ95" s="207" t="s">
        <v>386</v>
      </c>
      <c r="BK95" s="208" t="s">
        <v>386</v>
      </c>
      <c r="BL95" s="208" t="s">
        <v>386</v>
      </c>
      <c r="BM95" s="208" t="s">
        <v>386</v>
      </c>
      <c r="BN95" s="209" t="s">
        <v>386</v>
      </c>
      <c r="BO95" s="208" t="s">
        <v>386</v>
      </c>
      <c r="BP95" s="208" t="s">
        <v>386</v>
      </c>
      <c r="BQ95" s="208" t="s">
        <v>386</v>
      </c>
      <c r="BR95" s="208" t="s">
        <v>386</v>
      </c>
      <c r="BS95" s="209" t="s">
        <v>386</v>
      </c>
      <c r="BT95" s="215" t="s">
        <v>386</v>
      </c>
      <c r="BU95" s="215" t="s">
        <v>386</v>
      </c>
      <c r="BV95" s="215" t="s">
        <v>386</v>
      </c>
      <c r="BW95" s="215" t="s">
        <v>386</v>
      </c>
      <c r="BX95" s="406" t="s">
        <v>386</v>
      </c>
      <c r="BY95" s="215" t="s">
        <v>386</v>
      </c>
      <c r="BZ95" s="215" t="s">
        <v>386</v>
      </c>
      <c r="CA95" s="215" t="s">
        <v>386</v>
      </c>
      <c r="CB95" s="215" t="s">
        <v>386</v>
      </c>
      <c r="CC95" s="215" t="s">
        <v>386</v>
      </c>
      <c r="CD95" s="207" t="s">
        <v>386</v>
      </c>
      <c r="CE95" s="208" t="s">
        <v>386</v>
      </c>
      <c r="CF95" s="208" t="s">
        <v>386</v>
      </c>
      <c r="CG95" s="208" t="s">
        <v>386</v>
      </c>
      <c r="CH95" s="209" t="s">
        <v>386</v>
      </c>
    </row>
    <row r="96" spans="1:86" x14ac:dyDescent="0.25">
      <c r="A96" s="107" t="s">
        <v>123</v>
      </c>
      <c r="B96" s="213">
        <v>49.099999999999994</v>
      </c>
      <c r="C96" s="214">
        <v>48.75</v>
      </c>
      <c r="D96" s="214">
        <v>66.97999999999999</v>
      </c>
      <c r="E96" s="214">
        <v>69.55</v>
      </c>
      <c r="F96" s="214">
        <v>57.069999999999993</v>
      </c>
      <c r="G96" s="213">
        <v>63.57</v>
      </c>
      <c r="H96" s="214">
        <v>67.37</v>
      </c>
      <c r="I96" s="214">
        <v>63.349999999999994</v>
      </c>
      <c r="J96" s="214">
        <v>57.989999999999995</v>
      </c>
      <c r="K96" s="217">
        <v>49.94</v>
      </c>
      <c r="L96" s="214">
        <v>226.17</v>
      </c>
      <c r="M96" s="214">
        <v>226.71</v>
      </c>
      <c r="N96" s="214">
        <v>225.45</v>
      </c>
      <c r="O96" s="214">
        <v>200.21</v>
      </c>
      <c r="P96" s="214">
        <v>178.76</v>
      </c>
      <c r="Q96" s="213">
        <v>36.799999999999997</v>
      </c>
      <c r="R96" s="214">
        <v>61</v>
      </c>
      <c r="S96" s="214">
        <v>73.2</v>
      </c>
      <c r="T96" s="214">
        <v>86.51</v>
      </c>
      <c r="U96" s="217">
        <v>85.65</v>
      </c>
      <c r="V96" s="214">
        <v>72.400000000000006</v>
      </c>
      <c r="W96" s="214">
        <v>56</v>
      </c>
      <c r="X96" s="214">
        <v>73.099999999999994</v>
      </c>
      <c r="Y96" s="214">
        <v>83.94</v>
      </c>
      <c r="Z96" s="214">
        <v>78</v>
      </c>
      <c r="AA96" s="207" t="s">
        <v>386</v>
      </c>
      <c r="AB96" s="208" t="s">
        <v>386</v>
      </c>
      <c r="AC96" s="208" t="s">
        <v>386</v>
      </c>
      <c r="AD96" s="208" t="s">
        <v>386</v>
      </c>
      <c r="AE96" s="208" t="s">
        <v>386</v>
      </c>
      <c r="AF96" s="362" t="s">
        <v>386</v>
      </c>
      <c r="AG96" s="363" t="s">
        <v>386</v>
      </c>
      <c r="AH96" s="363" t="s">
        <v>386</v>
      </c>
      <c r="AI96" s="363" t="s">
        <v>386</v>
      </c>
      <c r="AJ96" s="364" t="s">
        <v>386</v>
      </c>
      <c r="AK96" s="208" t="s">
        <v>386</v>
      </c>
      <c r="AL96" s="208" t="s">
        <v>386</v>
      </c>
      <c r="AM96" s="208" t="s">
        <v>386</v>
      </c>
      <c r="AN96" s="208" t="s">
        <v>386</v>
      </c>
      <c r="AO96" s="208" t="s">
        <v>386</v>
      </c>
      <c r="AP96" s="207" t="s">
        <v>386</v>
      </c>
      <c r="AQ96" s="208" t="s">
        <v>386</v>
      </c>
      <c r="AR96" s="208" t="s">
        <v>386</v>
      </c>
      <c r="AS96" s="208" t="s">
        <v>386</v>
      </c>
      <c r="AT96" s="209" t="s">
        <v>386</v>
      </c>
      <c r="AU96" s="208" t="s">
        <v>386</v>
      </c>
      <c r="AV96" s="208" t="s">
        <v>386</v>
      </c>
      <c r="AW96" s="208" t="s">
        <v>386</v>
      </c>
      <c r="AX96" s="208" t="s">
        <v>386</v>
      </c>
      <c r="AY96" s="208" t="s">
        <v>386</v>
      </c>
      <c r="AZ96" s="207" t="s">
        <v>386</v>
      </c>
      <c r="BA96" s="208" t="s">
        <v>386</v>
      </c>
      <c r="BB96" s="208" t="s">
        <v>386</v>
      </c>
      <c r="BC96" s="208" t="s">
        <v>386</v>
      </c>
      <c r="BD96" s="209" t="s">
        <v>386</v>
      </c>
      <c r="BE96" s="208" t="s">
        <v>386</v>
      </c>
      <c r="BF96" s="208" t="s">
        <v>386</v>
      </c>
      <c r="BG96" s="208" t="s">
        <v>386</v>
      </c>
      <c r="BH96" s="208" t="s">
        <v>386</v>
      </c>
      <c r="BI96" s="208" t="s">
        <v>386</v>
      </c>
      <c r="BJ96" s="207" t="s">
        <v>386</v>
      </c>
      <c r="BK96" s="208" t="s">
        <v>386</v>
      </c>
      <c r="BL96" s="208" t="s">
        <v>386</v>
      </c>
      <c r="BM96" s="208" t="s">
        <v>386</v>
      </c>
      <c r="BN96" s="209" t="s">
        <v>386</v>
      </c>
      <c r="BO96" s="208" t="s">
        <v>386</v>
      </c>
      <c r="BP96" s="208" t="s">
        <v>386</v>
      </c>
      <c r="BQ96" s="208" t="s">
        <v>386</v>
      </c>
      <c r="BR96" s="208" t="s">
        <v>386</v>
      </c>
      <c r="BS96" s="209" t="s">
        <v>386</v>
      </c>
      <c r="BT96" s="215" t="s">
        <v>386</v>
      </c>
      <c r="BU96" s="215" t="s">
        <v>386</v>
      </c>
      <c r="BV96" s="215" t="s">
        <v>386</v>
      </c>
      <c r="BW96" s="215" t="s">
        <v>386</v>
      </c>
      <c r="BX96" s="406" t="s">
        <v>386</v>
      </c>
      <c r="BY96" s="215" t="s">
        <v>386</v>
      </c>
      <c r="BZ96" s="215" t="s">
        <v>386</v>
      </c>
      <c r="CA96" s="215" t="s">
        <v>386</v>
      </c>
      <c r="CB96" s="215" t="s">
        <v>386</v>
      </c>
      <c r="CC96" s="215" t="s">
        <v>386</v>
      </c>
      <c r="CD96" s="207" t="s">
        <v>386</v>
      </c>
      <c r="CE96" s="208" t="s">
        <v>386</v>
      </c>
      <c r="CF96" s="208" t="s">
        <v>386</v>
      </c>
      <c r="CG96" s="208" t="s">
        <v>386</v>
      </c>
      <c r="CH96" s="209" t="s">
        <v>386</v>
      </c>
    </row>
    <row r="97" spans="1:86" x14ac:dyDescent="0.25">
      <c r="A97" s="107" t="s">
        <v>124</v>
      </c>
      <c r="B97" s="213">
        <v>53.87</v>
      </c>
      <c r="C97" s="214">
        <v>59.2</v>
      </c>
      <c r="D97" s="214">
        <v>59.12</v>
      </c>
      <c r="E97" s="214">
        <v>65.25</v>
      </c>
      <c r="F97" s="214">
        <v>45.52</v>
      </c>
      <c r="G97" s="213">
        <v>52.21</v>
      </c>
      <c r="H97" s="214">
        <v>47.120000000000005</v>
      </c>
      <c r="I97" s="214">
        <v>46.69</v>
      </c>
      <c r="J97" s="214">
        <v>47.6</v>
      </c>
      <c r="K97" s="217">
        <v>46.839999999999996</v>
      </c>
      <c r="L97" s="214">
        <v>207.03</v>
      </c>
      <c r="M97" s="214">
        <v>174.1</v>
      </c>
      <c r="N97" s="214">
        <v>190.15</v>
      </c>
      <c r="O97" s="214">
        <v>190.69</v>
      </c>
      <c r="P97" s="214">
        <v>189.70000000000002</v>
      </c>
      <c r="Q97" s="213">
        <v>55</v>
      </c>
      <c r="R97" s="214">
        <v>61</v>
      </c>
      <c r="S97" s="214">
        <v>51.6</v>
      </c>
      <c r="T97" s="214">
        <v>86.51</v>
      </c>
      <c r="U97" s="217">
        <v>85.65</v>
      </c>
      <c r="V97" s="214">
        <v>73.2</v>
      </c>
      <c r="W97" s="214">
        <v>78.75</v>
      </c>
      <c r="X97" s="214">
        <v>111.78</v>
      </c>
      <c r="Y97" s="214">
        <v>112.48</v>
      </c>
      <c r="Z97" s="214">
        <v>104.82</v>
      </c>
      <c r="AA97" s="207" t="s">
        <v>386</v>
      </c>
      <c r="AB97" s="208" t="s">
        <v>386</v>
      </c>
      <c r="AC97" s="208" t="s">
        <v>386</v>
      </c>
      <c r="AD97" s="208" t="s">
        <v>386</v>
      </c>
      <c r="AE97" s="208" t="s">
        <v>386</v>
      </c>
      <c r="AF97" s="229">
        <v>71</v>
      </c>
      <c r="AG97" s="220">
        <v>94</v>
      </c>
      <c r="AH97" s="220">
        <v>81.83</v>
      </c>
      <c r="AI97" s="220">
        <v>88.21</v>
      </c>
      <c r="AJ97" s="224">
        <v>79.52</v>
      </c>
      <c r="AK97" s="208" t="s">
        <v>386</v>
      </c>
      <c r="AL97" s="208" t="s">
        <v>386</v>
      </c>
      <c r="AM97" s="208" t="s">
        <v>386</v>
      </c>
      <c r="AN97" s="208" t="s">
        <v>386</v>
      </c>
      <c r="AO97" s="208" t="s">
        <v>386</v>
      </c>
      <c r="AP97" s="213">
        <v>1951</v>
      </c>
      <c r="AQ97" s="214">
        <v>2185.46</v>
      </c>
      <c r="AR97" s="214">
        <v>2593.81</v>
      </c>
      <c r="AS97" s="214">
        <v>2553.84</v>
      </c>
      <c r="AT97" s="217">
        <v>1845.18</v>
      </c>
      <c r="AU97" s="208" t="s">
        <v>386</v>
      </c>
      <c r="AV97" s="208" t="s">
        <v>386</v>
      </c>
      <c r="AW97" s="208" t="s">
        <v>386</v>
      </c>
      <c r="AX97" s="208" t="s">
        <v>386</v>
      </c>
      <c r="AY97" s="208" t="s">
        <v>386</v>
      </c>
      <c r="AZ97" s="207" t="s">
        <v>386</v>
      </c>
      <c r="BA97" s="208" t="s">
        <v>386</v>
      </c>
      <c r="BB97" s="208" t="s">
        <v>386</v>
      </c>
      <c r="BC97" s="208" t="s">
        <v>386</v>
      </c>
      <c r="BD97" s="209" t="s">
        <v>386</v>
      </c>
      <c r="BE97" s="208" t="s">
        <v>386</v>
      </c>
      <c r="BF97" s="208" t="s">
        <v>386</v>
      </c>
      <c r="BG97" s="208" t="s">
        <v>386</v>
      </c>
      <c r="BH97" s="208" t="s">
        <v>386</v>
      </c>
      <c r="BI97" s="208" t="s">
        <v>386</v>
      </c>
      <c r="BJ97" s="207" t="s">
        <v>386</v>
      </c>
      <c r="BK97" s="208" t="s">
        <v>386</v>
      </c>
      <c r="BL97" s="208" t="s">
        <v>386</v>
      </c>
      <c r="BM97" s="208" t="s">
        <v>386</v>
      </c>
      <c r="BN97" s="209" t="s">
        <v>386</v>
      </c>
      <c r="BO97" s="208" t="s">
        <v>386</v>
      </c>
      <c r="BP97" s="208" t="s">
        <v>386</v>
      </c>
      <c r="BQ97" s="208" t="s">
        <v>386</v>
      </c>
      <c r="BR97" s="208" t="s">
        <v>386</v>
      </c>
      <c r="BS97" s="209" t="s">
        <v>386</v>
      </c>
      <c r="BT97" s="215" t="s">
        <v>386</v>
      </c>
      <c r="BU97" s="215" t="s">
        <v>386</v>
      </c>
      <c r="BV97" s="215" t="s">
        <v>386</v>
      </c>
      <c r="BW97" s="215" t="s">
        <v>386</v>
      </c>
      <c r="BX97" s="406" t="s">
        <v>386</v>
      </c>
      <c r="BY97" s="215" t="s">
        <v>386</v>
      </c>
      <c r="BZ97" s="215" t="s">
        <v>386</v>
      </c>
      <c r="CA97" s="215" t="s">
        <v>386</v>
      </c>
      <c r="CB97" s="215" t="s">
        <v>386</v>
      </c>
      <c r="CC97" s="215" t="s">
        <v>386</v>
      </c>
      <c r="CD97" s="207" t="s">
        <v>386</v>
      </c>
      <c r="CE97" s="208" t="s">
        <v>386</v>
      </c>
      <c r="CF97" s="208" t="s">
        <v>386</v>
      </c>
      <c r="CG97" s="208" t="s">
        <v>386</v>
      </c>
      <c r="CH97" s="209" t="s">
        <v>386</v>
      </c>
    </row>
    <row r="98" spans="1:86" x14ac:dyDescent="0.25">
      <c r="A98" s="107" t="s">
        <v>125</v>
      </c>
      <c r="B98" s="213">
        <v>53.23</v>
      </c>
      <c r="C98" s="214">
        <v>65.31</v>
      </c>
      <c r="D98" s="214">
        <v>56.1</v>
      </c>
      <c r="E98" s="214">
        <v>57.74</v>
      </c>
      <c r="F98" s="214">
        <v>40.98</v>
      </c>
      <c r="G98" s="213">
        <v>59.24</v>
      </c>
      <c r="H98" s="214">
        <v>47.64</v>
      </c>
      <c r="I98" s="214">
        <v>46.9</v>
      </c>
      <c r="J98" s="214">
        <v>48.89</v>
      </c>
      <c r="K98" s="217">
        <v>51.410000000000004</v>
      </c>
      <c r="L98" s="214">
        <v>222.92999999999998</v>
      </c>
      <c r="M98" s="214">
        <v>172.48</v>
      </c>
      <c r="N98" s="214">
        <v>185.92000000000002</v>
      </c>
      <c r="O98" s="214">
        <v>187.09</v>
      </c>
      <c r="P98" s="214">
        <v>191.46</v>
      </c>
      <c r="Q98" s="213">
        <v>55</v>
      </c>
      <c r="R98" s="214">
        <v>61</v>
      </c>
      <c r="S98" s="214">
        <v>73.2</v>
      </c>
      <c r="T98" s="214">
        <v>86.51</v>
      </c>
      <c r="U98" s="217">
        <v>85.65</v>
      </c>
      <c r="V98" s="214">
        <v>80.3</v>
      </c>
      <c r="W98" s="214">
        <v>95.43</v>
      </c>
      <c r="X98" s="214">
        <v>103.2</v>
      </c>
      <c r="Y98" s="214">
        <v>106.76</v>
      </c>
      <c r="Z98" s="214">
        <v>88.9</v>
      </c>
      <c r="AA98" s="213">
        <v>16.3</v>
      </c>
      <c r="AB98" s="214">
        <v>18.899999999999999</v>
      </c>
      <c r="AC98" s="214">
        <v>31.94</v>
      </c>
      <c r="AD98" s="214">
        <v>20.38</v>
      </c>
      <c r="AE98" s="214">
        <v>25.02</v>
      </c>
      <c r="AF98" s="229">
        <v>71</v>
      </c>
      <c r="AG98" s="220">
        <v>94</v>
      </c>
      <c r="AH98" s="220">
        <v>81.83</v>
      </c>
      <c r="AI98" s="220">
        <v>88.21</v>
      </c>
      <c r="AJ98" s="224">
        <v>79.52</v>
      </c>
      <c r="AK98" s="208" t="s">
        <v>386</v>
      </c>
      <c r="AL98" s="208" t="s">
        <v>386</v>
      </c>
      <c r="AM98" s="208" t="s">
        <v>386</v>
      </c>
      <c r="AN98" s="208" t="s">
        <v>386</v>
      </c>
      <c r="AO98" s="208" t="s">
        <v>386</v>
      </c>
      <c r="AP98" s="213">
        <v>1951</v>
      </c>
      <c r="AQ98" s="214">
        <v>2185.46</v>
      </c>
      <c r="AR98" s="214">
        <v>2593.81</v>
      </c>
      <c r="AS98" s="214">
        <v>2553.84</v>
      </c>
      <c r="AT98" s="217">
        <v>1845.18</v>
      </c>
      <c r="AU98" s="208">
        <v>2398</v>
      </c>
      <c r="AV98" s="208">
        <v>1520</v>
      </c>
      <c r="AW98" s="208">
        <v>2058.5</v>
      </c>
      <c r="AX98" s="208">
        <v>2300</v>
      </c>
      <c r="AY98" s="208">
        <v>2431</v>
      </c>
      <c r="AZ98" s="207" t="s">
        <v>386</v>
      </c>
      <c r="BA98" s="208" t="s">
        <v>386</v>
      </c>
      <c r="BB98" s="208" t="s">
        <v>386</v>
      </c>
      <c r="BC98" s="208" t="s">
        <v>386</v>
      </c>
      <c r="BD98" s="209" t="s">
        <v>386</v>
      </c>
      <c r="BE98" s="208" t="s">
        <v>386</v>
      </c>
      <c r="BF98" s="208" t="s">
        <v>386</v>
      </c>
      <c r="BG98" s="208" t="s">
        <v>386</v>
      </c>
      <c r="BH98" s="208" t="s">
        <v>386</v>
      </c>
      <c r="BI98" s="208" t="s">
        <v>386</v>
      </c>
      <c r="BJ98" s="207" t="s">
        <v>386</v>
      </c>
      <c r="BK98" s="208" t="s">
        <v>386</v>
      </c>
      <c r="BL98" s="208" t="s">
        <v>386</v>
      </c>
      <c r="BM98" s="208" t="s">
        <v>386</v>
      </c>
      <c r="BN98" s="209" t="s">
        <v>386</v>
      </c>
      <c r="BO98" s="208" t="s">
        <v>386</v>
      </c>
      <c r="BP98" s="208" t="s">
        <v>386</v>
      </c>
      <c r="BQ98" s="208" t="s">
        <v>386</v>
      </c>
      <c r="BR98" s="208" t="s">
        <v>386</v>
      </c>
      <c r="BS98" s="209" t="s">
        <v>386</v>
      </c>
      <c r="BT98" s="215" t="s">
        <v>386</v>
      </c>
      <c r="BU98" s="215" t="s">
        <v>386</v>
      </c>
      <c r="BV98" s="215" t="s">
        <v>386</v>
      </c>
      <c r="BW98" s="215" t="s">
        <v>386</v>
      </c>
      <c r="BX98" s="406" t="s">
        <v>386</v>
      </c>
      <c r="BY98" s="215" t="s">
        <v>386</v>
      </c>
      <c r="BZ98" s="215" t="s">
        <v>386</v>
      </c>
      <c r="CA98" s="215" t="s">
        <v>386</v>
      </c>
      <c r="CB98" s="215" t="s">
        <v>386</v>
      </c>
      <c r="CC98" s="215" t="s">
        <v>386</v>
      </c>
      <c r="CD98" s="207" t="s">
        <v>386</v>
      </c>
      <c r="CE98" s="208" t="s">
        <v>386</v>
      </c>
      <c r="CF98" s="208" t="s">
        <v>386</v>
      </c>
      <c r="CG98" s="208" t="s">
        <v>386</v>
      </c>
      <c r="CH98" s="209" t="s">
        <v>386</v>
      </c>
    </row>
    <row r="99" spans="1:86" x14ac:dyDescent="0.25">
      <c r="A99" s="107" t="s">
        <v>126</v>
      </c>
      <c r="B99" s="213">
        <v>67.150000000000006</v>
      </c>
      <c r="C99" s="214">
        <v>61.24</v>
      </c>
      <c r="D99" s="214">
        <v>75.36</v>
      </c>
      <c r="E99" s="214">
        <v>74.27</v>
      </c>
      <c r="F99" s="214">
        <v>52.68</v>
      </c>
      <c r="G99" s="213">
        <v>44.300000000000004</v>
      </c>
      <c r="H99" s="214">
        <v>32.5</v>
      </c>
      <c r="I99" s="214">
        <v>44.77</v>
      </c>
      <c r="J99" s="214">
        <v>40.58</v>
      </c>
      <c r="K99" s="217">
        <v>34.32</v>
      </c>
      <c r="L99" s="214">
        <v>179.93</v>
      </c>
      <c r="M99" s="214">
        <v>136.38999999999999</v>
      </c>
      <c r="N99" s="214">
        <v>195.41</v>
      </c>
      <c r="O99" s="214">
        <v>184.26</v>
      </c>
      <c r="P99" s="214">
        <v>182.85</v>
      </c>
      <c r="Q99" s="213">
        <v>87.28</v>
      </c>
      <c r="R99" s="214">
        <v>84.07</v>
      </c>
      <c r="S99" s="214">
        <v>85.9</v>
      </c>
      <c r="T99" s="214">
        <v>95.2</v>
      </c>
      <c r="U99" s="217">
        <v>91.42</v>
      </c>
      <c r="V99" s="214">
        <v>93.17</v>
      </c>
      <c r="W99" s="214">
        <v>60.8</v>
      </c>
      <c r="X99" s="214">
        <v>87.5</v>
      </c>
      <c r="Y99" s="214">
        <v>115.87</v>
      </c>
      <c r="Z99" s="214">
        <v>117.64</v>
      </c>
      <c r="AA99" s="207" t="s">
        <v>386</v>
      </c>
      <c r="AB99" s="208" t="s">
        <v>386</v>
      </c>
      <c r="AC99" s="208" t="s">
        <v>386</v>
      </c>
      <c r="AD99" s="208" t="s">
        <v>386</v>
      </c>
      <c r="AE99" s="208" t="s">
        <v>386</v>
      </c>
      <c r="AF99" s="362" t="s">
        <v>386</v>
      </c>
      <c r="AG99" s="363" t="s">
        <v>386</v>
      </c>
      <c r="AH99" s="363" t="s">
        <v>386</v>
      </c>
      <c r="AI99" s="363" t="s">
        <v>386</v>
      </c>
      <c r="AJ99" s="364" t="s">
        <v>386</v>
      </c>
      <c r="AK99" s="208">
        <v>1411</v>
      </c>
      <c r="AL99" s="208">
        <v>1303.2</v>
      </c>
      <c r="AM99" s="208">
        <v>2082</v>
      </c>
      <c r="AN99" s="208">
        <v>2614.17</v>
      </c>
      <c r="AO99" s="208">
        <v>1973.8</v>
      </c>
      <c r="AP99" s="213">
        <v>1791</v>
      </c>
      <c r="AQ99" s="214">
        <v>2185.46</v>
      </c>
      <c r="AR99" s="214">
        <v>2593.81</v>
      </c>
      <c r="AS99" s="214">
        <v>2553.84</v>
      </c>
      <c r="AT99" s="217">
        <v>1880.01</v>
      </c>
      <c r="AU99" s="208">
        <v>2877.17</v>
      </c>
      <c r="AV99" s="208">
        <v>1520</v>
      </c>
      <c r="AW99" s="208">
        <v>2058.5</v>
      </c>
      <c r="AX99" s="208">
        <v>2300</v>
      </c>
      <c r="AY99" s="208">
        <v>2431</v>
      </c>
      <c r="AZ99" s="207" t="s">
        <v>386</v>
      </c>
      <c r="BA99" s="208" t="s">
        <v>386</v>
      </c>
      <c r="BB99" s="208" t="s">
        <v>386</v>
      </c>
      <c r="BC99" s="208" t="s">
        <v>386</v>
      </c>
      <c r="BD99" s="209" t="s">
        <v>386</v>
      </c>
      <c r="BE99" s="208" t="s">
        <v>386</v>
      </c>
      <c r="BF99" s="208" t="s">
        <v>386</v>
      </c>
      <c r="BG99" s="208" t="s">
        <v>386</v>
      </c>
      <c r="BH99" s="208" t="s">
        <v>386</v>
      </c>
      <c r="BI99" s="208" t="s">
        <v>386</v>
      </c>
      <c r="BJ99" s="207" t="s">
        <v>386</v>
      </c>
      <c r="BK99" s="208" t="s">
        <v>386</v>
      </c>
      <c r="BL99" s="208" t="s">
        <v>386</v>
      </c>
      <c r="BM99" s="208" t="s">
        <v>386</v>
      </c>
      <c r="BN99" s="209" t="s">
        <v>386</v>
      </c>
      <c r="BO99" s="208" t="s">
        <v>386</v>
      </c>
      <c r="BP99" s="208" t="s">
        <v>386</v>
      </c>
      <c r="BQ99" s="208" t="s">
        <v>386</v>
      </c>
      <c r="BR99" s="208" t="s">
        <v>386</v>
      </c>
      <c r="BS99" s="209" t="s">
        <v>386</v>
      </c>
      <c r="BT99" s="215" t="s">
        <v>386</v>
      </c>
      <c r="BU99" s="215" t="s">
        <v>386</v>
      </c>
      <c r="BV99" s="215" t="s">
        <v>386</v>
      </c>
      <c r="BW99" s="215" t="s">
        <v>386</v>
      </c>
      <c r="BX99" s="406" t="s">
        <v>386</v>
      </c>
      <c r="BY99" s="215" t="s">
        <v>386</v>
      </c>
      <c r="BZ99" s="215" t="s">
        <v>386</v>
      </c>
      <c r="CA99" s="215" t="s">
        <v>386</v>
      </c>
      <c r="CB99" s="215" t="s">
        <v>386</v>
      </c>
      <c r="CC99" s="215" t="s">
        <v>386</v>
      </c>
      <c r="CD99" s="207" t="s">
        <v>386</v>
      </c>
      <c r="CE99" s="208" t="s">
        <v>386</v>
      </c>
      <c r="CF99" s="208" t="s">
        <v>386</v>
      </c>
      <c r="CG99" s="208" t="s">
        <v>386</v>
      </c>
      <c r="CH99" s="209" t="s">
        <v>386</v>
      </c>
    </row>
    <row r="100" spans="1:86" x14ac:dyDescent="0.25">
      <c r="A100" s="107" t="s">
        <v>127</v>
      </c>
      <c r="B100" s="213">
        <v>53.19</v>
      </c>
      <c r="C100" s="214">
        <v>54.39</v>
      </c>
      <c r="D100" s="214">
        <v>68.150000000000006</v>
      </c>
      <c r="E100" s="214">
        <v>74.72</v>
      </c>
      <c r="F100" s="214">
        <v>73.3</v>
      </c>
      <c r="G100" s="213">
        <v>32.21</v>
      </c>
      <c r="H100" s="214">
        <v>30.39</v>
      </c>
      <c r="I100" s="214">
        <v>40.029999999999994</v>
      </c>
      <c r="J100" s="214">
        <v>40.1</v>
      </c>
      <c r="K100" s="217">
        <v>39.880000000000003</v>
      </c>
      <c r="L100" s="214">
        <v>116.68</v>
      </c>
      <c r="M100" s="214">
        <v>122.97</v>
      </c>
      <c r="N100" s="214">
        <v>166.76</v>
      </c>
      <c r="O100" s="214">
        <v>164.46</v>
      </c>
      <c r="P100" s="214">
        <v>156.76</v>
      </c>
      <c r="Q100" s="213">
        <v>60</v>
      </c>
      <c r="R100" s="214">
        <v>72.25</v>
      </c>
      <c r="S100" s="214">
        <v>70.819999999999993</v>
      </c>
      <c r="T100" s="214">
        <v>91.990000000000009</v>
      </c>
      <c r="U100" s="217">
        <v>90.84</v>
      </c>
      <c r="V100" s="214">
        <v>75.67</v>
      </c>
      <c r="W100" s="214">
        <v>56.8</v>
      </c>
      <c r="X100" s="214">
        <v>104.29</v>
      </c>
      <c r="Y100" s="214">
        <v>108.84</v>
      </c>
      <c r="Z100" s="214">
        <v>111.6</v>
      </c>
      <c r="AA100" s="213">
        <v>16.3</v>
      </c>
      <c r="AB100" s="214">
        <v>18.899999999999999</v>
      </c>
      <c r="AC100" s="214">
        <v>31.94</v>
      </c>
      <c r="AD100" s="214">
        <v>20.38</v>
      </c>
      <c r="AE100" s="214">
        <v>25.02</v>
      </c>
      <c r="AF100" s="229">
        <v>71</v>
      </c>
      <c r="AG100" s="220">
        <v>94</v>
      </c>
      <c r="AH100" s="220">
        <v>81.83</v>
      </c>
      <c r="AI100" s="220">
        <v>88.21</v>
      </c>
      <c r="AJ100" s="224">
        <v>79.52</v>
      </c>
      <c r="AK100" s="214">
        <v>1621.7099999999998</v>
      </c>
      <c r="AL100" s="214">
        <v>1485.73</v>
      </c>
      <c r="AM100" s="214">
        <v>2209.27</v>
      </c>
      <c r="AN100" s="214">
        <v>2666.33</v>
      </c>
      <c r="AO100" s="214">
        <v>1881.51</v>
      </c>
      <c r="AP100" s="213">
        <v>2063.7399999999998</v>
      </c>
      <c r="AQ100" s="214">
        <v>2200.64</v>
      </c>
      <c r="AR100" s="214">
        <v>2230.1600000000003</v>
      </c>
      <c r="AS100" s="214">
        <v>2428.6600000000003</v>
      </c>
      <c r="AT100" s="217">
        <v>1561.96</v>
      </c>
      <c r="AU100" s="214">
        <v>2398</v>
      </c>
      <c r="AV100" s="214">
        <v>1520</v>
      </c>
      <c r="AW100" s="214">
        <v>2058.5</v>
      </c>
      <c r="AX100" s="214">
        <v>2300</v>
      </c>
      <c r="AY100" s="214">
        <v>2431</v>
      </c>
      <c r="AZ100" s="207" t="s">
        <v>386</v>
      </c>
      <c r="BA100" s="208" t="s">
        <v>386</v>
      </c>
      <c r="BB100" s="208" t="s">
        <v>386</v>
      </c>
      <c r="BC100" s="208" t="s">
        <v>386</v>
      </c>
      <c r="BD100" s="209" t="s">
        <v>386</v>
      </c>
      <c r="BE100" s="208" t="s">
        <v>386</v>
      </c>
      <c r="BF100" s="208" t="s">
        <v>386</v>
      </c>
      <c r="BG100" s="208" t="s">
        <v>386</v>
      </c>
      <c r="BH100" s="208" t="s">
        <v>386</v>
      </c>
      <c r="BI100" s="208" t="s">
        <v>386</v>
      </c>
      <c r="BJ100" s="207" t="s">
        <v>386</v>
      </c>
      <c r="BK100" s="208" t="s">
        <v>386</v>
      </c>
      <c r="BL100" s="208" t="s">
        <v>386</v>
      </c>
      <c r="BM100" s="208" t="s">
        <v>386</v>
      </c>
      <c r="BN100" s="209" t="s">
        <v>386</v>
      </c>
      <c r="BO100" s="208" t="s">
        <v>386</v>
      </c>
      <c r="BP100" s="208" t="s">
        <v>386</v>
      </c>
      <c r="BQ100" s="208" t="s">
        <v>386</v>
      </c>
      <c r="BR100" s="208" t="s">
        <v>386</v>
      </c>
      <c r="BS100" s="209" t="s">
        <v>386</v>
      </c>
      <c r="BT100" s="215" t="s">
        <v>386</v>
      </c>
      <c r="BU100" s="215" t="s">
        <v>386</v>
      </c>
      <c r="BV100" s="215" t="s">
        <v>386</v>
      </c>
      <c r="BW100" s="215" t="s">
        <v>386</v>
      </c>
      <c r="BX100" s="406" t="s">
        <v>386</v>
      </c>
      <c r="BY100" s="215" t="s">
        <v>386</v>
      </c>
      <c r="BZ100" s="215" t="s">
        <v>386</v>
      </c>
      <c r="CA100" s="215" t="s">
        <v>386</v>
      </c>
      <c r="CB100" s="215" t="s">
        <v>386</v>
      </c>
      <c r="CC100" s="215" t="s">
        <v>386</v>
      </c>
      <c r="CD100" s="207" t="s">
        <v>386</v>
      </c>
      <c r="CE100" s="208" t="s">
        <v>386</v>
      </c>
      <c r="CF100" s="208" t="s">
        <v>386</v>
      </c>
      <c r="CG100" s="208" t="s">
        <v>386</v>
      </c>
      <c r="CH100" s="209" t="s">
        <v>386</v>
      </c>
    </row>
    <row r="101" spans="1:86" x14ac:dyDescent="0.25">
      <c r="A101" s="107" t="s">
        <v>128</v>
      </c>
      <c r="B101" s="213">
        <v>46.7</v>
      </c>
      <c r="C101" s="214">
        <v>47.1</v>
      </c>
      <c r="D101" s="214">
        <v>58.5</v>
      </c>
      <c r="E101" s="214">
        <v>68.56</v>
      </c>
      <c r="F101" s="214">
        <v>41.51</v>
      </c>
      <c r="G101" s="213">
        <v>66.58</v>
      </c>
      <c r="H101" s="214">
        <v>62.75</v>
      </c>
      <c r="I101" s="214">
        <v>66.19</v>
      </c>
      <c r="J101" s="214">
        <v>65.62</v>
      </c>
      <c r="K101" s="217">
        <v>48.29</v>
      </c>
      <c r="L101" s="214">
        <v>219.71</v>
      </c>
      <c r="M101" s="214">
        <v>208.17000000000002</v>
      </c>
      <c r="N101" s="214">
        <v>239.78</v>
      </c>
      <c r="O101" s="214">
        <v>236.11</v>
      </c>
      <c r="P101" s="214">
        <v>162.24</v>
      </c>
      <c r="Q101" s="213">
        <v>55</v>
      </c>
      <c r="R101" s="214">
        <v>61</v>
      </c>
      <c r="S101" s="214">
        <v>73.2</v>
      </c>
      <c r="T101" s="214">
        <v>86.51</v>
      </c>
      <c r="U101" s="217">
        <v>85.65</v>
      </c>
      <c r="V101" s="214">
        <v>71.400000000000006</v>
      </c>
      <c r="W101" s="214">
        <v>73.48</v>
      </c>
      <c r="X101" s="214">
        <v>115.3</v>
      </c>
      <c r="Y101" s="214">
        <v>76.47</v>
      </c>
      <c r="Z101" s="214">
        <v>78</v>
      </c>
      <c r="AA101" s="207" t="s">
        <v>386</v>
      </c>
      <c r="AB101" s="208" t="s">
        <v>386</v>
      </c>
      <c r="AC101" s="208" t="s">
        <v>386</v>
      </c>
      <c r="AD101" s="208" t="s">
        <v>386</v>
      </c>
      <c r="AE101" s="208" t="s">
        <v>386</v>
      </c>
      <c r="AF101" s="362" t="s">
        <v>386</v>
      </c>
      <c r="AG101" s="363" t="s">
        <v>386</v>
      </c>
      <c r="AH101" s="363" t="s">
        <v>386</v>
      </c>
      <c r="AI101" s="363" t="s">
        <v>386</v>
      </c>
      <c r="AJ101" s="364" t="s">
        <v>386</v>
      </c>
      <c r="AK101" s="208" t="s">
        <v>386</v>
      </c>
      <c r="AL101" s="208" t="s">
        <v>386</v>
      </c>
      <c r="AM101" s="208" t="s">
        <v>386</v>
      </c>
      <c r="AN101" s="208" t="s">
        <v>386</v>
      </c>
      <c r="AO101" s="208" t="s">
        <v>386</v>
      </c>
      <c r="AP101" s="207" t="s">
        <v>386</v>
      </c>
      <c r="AQ101" s="208" t="s">
        <v>386</v>
      </c>
      <c r="AR101" s="208" t="s">
        <v>386</v>
      </c>
      <c r="AS101" s="208" t="s">
        <v>386</v>
      </c>
      <c r="AT101" s="209" t="s">
        <v>386</v>
      </c>
      <c r="AU101" s="208" t="s">
        <v>386</v>
      </c>
      <c r="AV101" s="208" t="s">
        <v>386</v>
      </c>
      <c r="AW101" s="208" t="s">
        <v>386</v>
      </c>
      <c r="AX101" s="208" t="s">
        <v>386</v>
      </c>
      <c r="AY101" s="208" t="s">
        <v>386</v>
      </c>
      <c r="AZ101" s="207" t="s">
        <v>386</v>
      </c>
      <c r="BA101" s="208" t="s">
        <v>386</v>
      </c>
      <c r="BB101" s="208" t="s">
        <v>386</v>
      </c>
      <c r="BC101" s="208" t="s">
        <v>386</v>
      </c>
      <c r="BD101" s="209" t="s">
        <v>386</v>
      </c>
      <c r="BE101" s="208" t="s">
        <v>386</v>
      </c>
      <c r="BF101" s="208" t="s">
        <v>386</v>
      </c>
      <c r="BG101" s="208" t="s">
        <v>386</v>
      </c>
      <c r="BH101" s="208" t="s">
        <v>386</v>
      </c>
      <c r="BI101" s="208" t="s">
        <v>386</v>
      </c>
      <c r="BJ101" s="207" t="s">
        <v>386</v>
      </c>
      <c r="BK101" s="208" t="s">
        <v>386</v>
      </c>
      <c r="BL101" s="208" t="s">
        <v>386</v>
      </c>
      <c r="BM101" s="208" t="s">
        <v>386</v>
      </c>
      <c r="BN101" s="209" t="s">
        <v>386</v>
      </c>
      <c r="BO101" s="208" t="s">
        <v>386</v>
      </c>
      <c r="BP101" s="208" t="s">
        <v>386</v>
      </c>
      <c r="BQ101" s="208" t="s">
        <v>386</v>
      </c>
      <c r="BR101" s="208" t="s">
        <v>386</v>
      </c>
      <c r="BS101" s="209" t="s">
        <v>386</v>
      </c>
      <c r="BT101" s="215" t="s">
        <v>386</v>
      </c>
      <c r="BU101" s="215" t="s">
        <v>386</v>
      </c>
      <c r="BV101" s="215" t="s">
        <v>386</v>
      </c>
      <c r="BW101" s="215" t="s">
        <v>386</v>
      </c>
      <c r="BX101" s="406" t="s">
        <v>386</v>
      </c>
      <c r="BY101" s="215" t="s">
        <v>386</v>
      </c>
      <c r="BZ101" s="215" t="s">
        <v>386</v>
      </c>
      <c r="CA101" s="215" t="s">
        <v>386</v>
      </c>
      <c r="CB101" s="215" t="s">
        <v>386</v>
      </c>
      <c r="CC101" s="215" t="s">
        <v>386</v>
      </c>
      <c r="CD101" s="207" t="s">
        <v>386</v>
      </c>
      <c r="CE101" s="208" t="s">
        <v>386</v>
      </c>
      <c r="CF101" s="208" t="s">
        <v>386</v>
      </c>
      <c r="CG101" s="208" t="s">
        <v>386</v>
      </c>
      <c r="CH101" s="209" t="s">
        <v>386</v>
      </c>
    </row>
    <row r="102" spans="1:86" x14ac:dyDescent="0.25">
      <c r="A102" s="107" t="s">
        <v>129</v>
      </c>
      <c r="B102" s="213">
        <v>44.67</v>
      </c>
      <c r="C102" s="214">
        <v>57.7</v>
      </c>
      <c r="D102" s="214">
        <v>54.61</v>
      </c>
      <c r="E102" s="214">
        <v>69.03</v>
      </c>
      <c r="F102" s="214">
        <v>45.66</v>
      </c>
      <c r="G102" s="213">
        <v>60.12</v>
      </c>
      <c r="H102" s="214">
        <v>60.73</v>
      </c>
      <c r="I102" s="214">
        <v>58.17</v>
      </c>
      <c r="J102" s="214">
        <v>54.71</v>
      </c>
      <c r="K102" s="217">
        <v>45.5</v>
      </c>
      <c r="L102" s="214">
        <v>221.17</v>
      </c>
      <c r="M102" s="214">
        <v>216.83</v>
      </c>
      <c r="N102" s="214">
        <v>211.57999999999998</v>
      </c>
      <c r="O102" s="214">
        <v>208.60999999999999</v>
      </c>
      <c r="P102" s="214">
        <v>162.69</v>
      </c>
      <c r="Q102" s="213">
        <v>55</v>
      </c>
      <c r="R102" s="214">
        <v>61</v>
      </c>
      <c r="S102" s="214">
        <v>73.2</v>
      </c>
      <c r="T102" s="214">
        <v>86.51</v>
      </c>
      <c r="U102" s="217">
        <v>85.65</v>
      </c>
      <c r="V102" s="214">
        <v>73.14</v>
      </c>
      <c r="W102" s="214">
        <v>78.22</v>
      </c>
      <c r="X102" s="214">
        <v>88.1</v>
      </c>
      <c r="Y102" s="214">
        <v>92.1</v>
      </c>
      <c r="Z102" s="214">
        <v>56</v>
      </c>
      <c r="AA102" s="207" t="s">
        <v>386</v>
      </c>
      <c r="AB102" s="208" t="s">
        <v>386</v>
      </c>
      <c r="AC102" s="208" t="s">
        <v>386</v>
      </c>
      <c r="AD102" s="208" t="s">
        <v>386</v>
      </c>
      <c r="AE102" s="208" t="s">
        <v>386</v>
      </c>
      <c r="AF102" s="362" t="s">
        <v>386</v>
      </c>
      <c r="AG102" s="363" t="s">
        <v>386</v>
      </c>
      <c r="AH102" s="363" t="s">
        <v>386</v>
      </c>
      <c r="AI102" s="363" t="s">
        <v>386</v>
      </c>
      <c r="AJ102" s="364" t="s">
        <v>386</v>
      </c>
      <c r="AK102" s="208" t="s">
        <v>386</v>
      </c>
      <c r="AL102" s="208" t="s">
        <v>386</v>
      </c>
      <c r="AM102" s="208" t="s">
        <v>386</v>
      </c>
      <c r="AN102" s="208" t="s">
        <v>386</v>
      </c>
      <c r="AO102" s="208" t="s">
        <v>386</v>
      </c>
      <c r="AP102" s="207" t="s">
        <v>386</v>
      </c>
      <c r="AQ102" s="208" t="s">
        <v>386</v>
      </c>
      <c r="AR102" s="208" t="s">
        <v>386</v>
      </c>
      <c r="AS102" s="208" t="s">
        <v>386</v>
      </c>
      <c r="AT102" s="209" t="s">
        <v>386</v>
      </c>
      <c r="AU102" s="208" t="s">
        <v>386</v>
      </c>
      <c r="AV102" s="208" t="s">
        <v>386</v>
      </c>
      <c r="AW102" s="208" t="s">
        <v>386</v>
      </c>
      <c r="AX102" s="208" t="s">
        <v>386</v>
      </c>
      <c r="AY102" s="208" t="s">
        <v>386</v>
      </c>
      <c r="AZ102" s="207" t="s">
        <v>386</v>
      </c>
      <c r="BA102" s="208" t="s">
        <v>386</v>
      </c>
      <c r="BB102" s="208" t="s">
        <v>386</v>
      </c>
      <c r="BC102" s="208" t="s">
        <v>386</v>
      </c>
      <c r="BD102" s="209" t="s">
        <v>386</v>
      </c>
      <c r="BE102" s="208" t="s">
        <v>386</v>
      </c>
      <c r="BF102" s="208" t="s">
        <v>386</v>
      </c>
      <c r="BG102" s="208" t="s">
        <v>386</v>
      </c>
      <c r="BH102" s="208" t="s">
        <v>386</v>
      </c>
      <c r="BI102" s="208" t="s">
        <v>386</v>
      </c>
      <c r="BJ102" s="207" t="s">
        <v>386</v>
      </c>
      <c r="BK102" s="208" t="s">
        <v>386</v>
      </c>
      <c r="BL102" s="208" t="s">
        <v>386</v>
      </c>
      <c r="BM102" s="208" t="s">
        <v>386</v>
      </c>
      <c r="BN102" s="209" t="s">
        <v>386</v>
      </c>
      <c r="BO102" s="208" t="s">
        <v>386</v>
      </c>
      <c r="BP102" s="208" t="s">
        <v>386</v>
      </c>
      <c r="BQ102" s="208" t="s">
        <v>386</v>
      </c>
      <c r="BR102" s="208" t="s">
        <v>386</v>
      </c>
      <c r="BS102" s="209" t="s">
        <v>386</v>
      </c>
      <c r="BT102" s="215" t="s">
        <v>386</v>
      </c>
      <c r="BU102" s="215" t="s">
        <v>386</v>
      </c>
      <c r="BV102" s="215" t="s">
        <v>386</v>
      </c>
      <c r="BW102" s="215" t="s">
        <v>386</v>
      </c>
      <c r="BX102" s="406" t="s">
        <v>386</v>
      </c>
      <c r="BY102" s="215" t="s">
        <v>386</v>
      </c>
      <c r="BZ102" s="215" t="s">
        <v>386</v>
      </c>
      <c r="CA102" s="215" t="s">
        <v>386</v>
      </c>
      <c r="CB102" s="215" t="s">
        <v>386</v>
      </c>
      <c r="CC102" s="215" t="s">
        <v>386</v>
      </c>
      <c r="CD102" s="207" t="s">
        <v>386</v>
      </c>
      <c r="CE102" s="208" t="s">
        <v>386</v>
      </c>
      <c r="CF102" s="208" t="s">
        <v>386</v>
      </c>
      <c r="CG102" s="208" t="s">
        <v>386</v>
      </c>
      <c r="CH102" s="209" t="s">
        <v>386</v>
      </c>
    </row>
    <row r="103" spans="1:86" x14ac:dyDescent="0.25">
      <c r="A103" s="107" t="s">
        <v>130</v>
      </c>
      <c r="B103" s="213">
        <v>36.96</v>
      </c>
      <c r="C103" s="214">
        <v>39.159999999999997</v>
      </c>
      <c r="D103" s="214">
        <v>35.840000000000003</v>
      </c>
      <c r="E103" s="214">
        <v>36.699999999999996</v>
      </c>
      <c r="F103" s="214">
        <v>32.39</v>
      </c>
      <c r="G103" s="213">
        <v>56.309999999999995</v>
      </c>
      <c r="H103" s="214">
        <v>47.93</v>
      </c>
      <c r="I103" s="214">
        <v>50.93</v>
      </c>
      <c r="J103" s="214">
        <v>57.21</v>
      </c>
      <c r="K103" s="217">
        <v>46.32</v>
      </c>
      <c r="L103" s="214">
        <v>216.74</v>
      </c>
      <c r="M103" s="214">
        <v>163.06</v>
      </c>
      <c r="N103" s="214">
        <v>196.57</v>
      </c>
      <c r="O103" s="214">
        <v>214.26</v>
      </c>
      <c r="P103" s="214">
        <v>175.53</v>
      </c>
      <c r="Q103" s="213">
        <v>60.2</v>
      </c>
      <c r="R103" s="214">
        <v>61</v>
      </c>
      <c r="S103" s="214">
        <v>49.2</v>
      </c>
      <c r="T103" s="214">
        <v>86.51</v>
      </c>
      <c r="U103" s="217">
        <v>85.65</v>
      </c>
      <c r="V103" s="214">
        <v>57.2</v>
      </c>
      <c r="W103" s="214">
        <v>52.8</v>
      </c>
      <c r="X103" s="214">
        <v>61.9</v>
      </c>
      <c r="Y103" s="214">
        <v>81.400000000000006</v>
      </c>
      <c r="Z103" s="214">
        <v>65.67</v>
      </c>
      <c r="AA103" s="207" t="s">
        <v>386</v>
      </c>
      <c r="AB103" s="208" t="s">
        <v>386</v>
      </c>
      <c r="AC103" s="208" t="s">
        <v>386</v>
      </c>
      <c r="AD103" s="208" t="s">
        <v>386</v>
      </c>
      <c r="AE103" s="208" t="s">
        <v>386</v>
      </c>
      <c r="AF103" s="362" t="s">
        <v>386</v>
      </c>
      <c r="AG103" s="363" t="s">
        <v>386</v>
      </c>
      <c r="AH103" s="363" t="s">
        <v>386</v>
      </c>
      <c r="AI103" s="363" t="s">
        <v>386</v>
      </c>
      <c r="AJ103" s="364" t="s">
        <v>386</v>
      </c>
      <c r="AK103" s="208" t="s">
        <v>386</v>
      </c>
      <c r="AL103" s="208" t="s">
        <v>386</v>
      </c>
      <c r="AM103" s="208" t="s">
        <v>386</v>
      </c>
      <c r="AN103" s="208" t="s">
        <v>386</v>
      </c>
      <c r="AO103" s="208" t="s">
        <v>386</v>
      </c>
      <c r="AP103" s="207" t="s">
        <v>386</v>
      </c>
      <c r="AQ103" s="208" t="s">
        <v>386</v>
      </c>
      <c r="AR103" s="208" t="s">
        <v>386</v>
      </c>
      <c r="AS103" s="208" t="s">
        <v>386</v>
      </c>
      <c r="AT103" s="209" t="s">
        <v>386</v>
      </c>
      <c r="AU103" s="208" t="s">
        <v>386</v>
      </c>
      <c r="AV103" s="208" t="s">
        <v>386</v>
      </c>
      <c r="AW103" s="208" t="s">
        <v>386</v>
      </c>
      <c r="AX103" s="208" t="s">
        <v>386</v>
      </c>
      <c r="AY103" s="208" t="s">
        <v>386</v>
      </c>
      <c r="AZ103" s="207" t="s">
        <v>386</v>
      </c>
      <c r="BA103" s="208" t="s">
        <v>386</v>
      </c>
      <c r="BB103" s="208" t="s">
        <v>386</v>
      </c>
      <c r="BC103" s="208" t="s">
        <v>386</v>
      </c>
      <c r="BD103" s="209" t="s">
        <v>386</v>
      </c>
      <c r="BE103" s="208" t="s">
        <v>386</v>
      </c>
      <c r="BF103" s="208" t="s">
        <v>386</v>
      </c>
      <c r="BG103" s="208" t="s">
        <v>386</v>
      </c>
      <c r="BH103" s="208" t="s">
        <v>386</v>
      </c>
      <c r="BI103" s="208" t="s">
        <v>386</v>
      </c>
      <c r="BJ103" s="207" t="s">
        <v>386</v>
      </c>
      <c r="BK103" s="208" t="s">
        <v>386</v>
      </c>
      <c r="BL103" s="208" t="s">
        <v>386</v>
      </c>
      <c r="BM103" s="208" t="s">
        <v>386</v>
      </c>
      <c r="BN103" s="209" t="s">
        <v>386</v>
      </c>
      <c r="BO103" s="208" t="s">
        <v>386</v>
      </c>
      <c r="BP103" s="208" t="s">
        <v>386</v>
      </c>
      <c r="BQ103" s="208" t="s">
        <v>386</v>
      </c>
      <c r="BR103" s="208" t="s">
        <v>386</v>
      </c>
      <c r="BS103" s="209" t="s">
        <v>386</v>
      </c>
      <c r="BT103" s="215" t="s">
        <v>386</v>
      </c>
      <c r="BU103" s="215" t="s">
        <v>386</v>
      </c>
      <c r="BV103" s="215" t="s">
        <v>386</v>
      </c>
      <c r="BW103" s="215" t="s">
        <v>386</v>
      </c>
      <c r="BX103" s="406" t="s">
        <v>386</v>
      </c>
      <c r="BY103" s="215" t="s">
        <v>386</v>
      </c>
      <c r="BZ103" s="215" t="s">
        <v>386</v>
      </c>
      <c r="CA103" s="215" t="s">
        <v>386</v>
      </c>
      <c r="CB103" s="215" t="s">
        <v>386</v>
      </c>
      <c r="CC103" s="215" t="s">
        <v>386</v>
      </c>
      <c r="CD103" s="207" t="s">
        <v>386</v>
      </c>
      <c r="CE103" s="208" t="s">
        <v>386</v>
      </c>
      <c r="CF103" s="208" t="s">
        <v>386</v>
      </c>
      <c r="CG103" s="208" t="s">
        <v>386</v>
      </c>
      <c r="CH103" s="209" t="s">
        <v>386</v>
      </c>
    </row>
    <row r="104" spans="1:86" x14ac:dyDescent="0.25">
      <c r="A104" s="107" t="s">
        <v>131</v>
      </c>
      <c r="B104" s="213">
        <v>32.799999999999997</v>
      </c>
      <c r="C104" s="214">
        <v>47.1</v>
      </c>
      <c r="D104" s="214">
        <v>40.1</v>
      </c>
      <c r="E104" s="214">
        <v>30.4</v>
      </c>
      <c r="F104" s="214">
        <v>69.959999999999994</v>
      </c>
      <c r="G104" s="213">
        <v>49.29</v>
      </c>
      <c r="H104" s="214">
        <v>40.75</v>
      </c>
      <c r="I104" s="214">
        <v>40.14</v>
      </c>
      <c r="J104" s="214">
        <v>40.33</v>
      </c>
      <c r="K104" s="217">
        <v>41.97</v>
      </c>
      <c r="L104" s="214">
        <v>189.27</v>
      </c>
      <c r="M104" s="214">
        <v>123.85</v>
      </c>
      <c r="N104" s="214">
        <v>171</v>
      </c>
      <c r="O104" s="214">
        <v>137.25</v>
      </c>
      <c r="P104" s="214">
        <v>161.07000000000002</v>
      </c>
      <c r="Q104" s="213">
        <v>50</v>
      </c>
      <c r="R104" s="214">
        <v>61</v>
      </c>
      <c r="S104" s="214">
        <v>64.7</v>
      </c>
      <c r="T104" s="214">
        <v>86.51</v>
      </c>
      <c r="U104" s="217">
        <v>85.65</v>
      </c>
      <c r="V104" s="214">
        <v>41.6</v>
      </c>
      <c r="W104" s="214">
        <v>68.69</v>
      </c>
      <c r="X104" s="214">
        <v>46.4</v>
      </c>
      <c r="Y104" s="214">
        <v>47.2</v>
      </c>
      <c r="Z104" s="214">
        <v>62.81</v>
      </c>
      <c r="AA104" s="207" t="s">
        <v>386</v>
      </c>
      <c r="AB104" s="208" t="s">
        <v>386</v>
      </c>
      <c r="AC104" s="208" t="s">
        <v>386</v>
      </c>
      <c r="AD104" s="208" t="s">
        <v>386</v>
      </c>
      <c r="AE104" s="208" t="s">
        <v>386</v>
      </c>
      <c r="AF104" s="229">
        <v>71</v>
      </c>
      <c r="AG104" s="220">
        <v>94</v>
      </c>
      <c r="AH104" s="220">
        <v>81.83</v>
      </c>
      <c r="AI104" s="220">
        <v>88.21</v>
      </c>
      <c r="AJ104" s="224">
        <v>79.52</v>
      </c>
      <c r="AK104" s="208">
        <v>1408.5</v>
      </c>
      <c r="AL104" s="208">
        <v>1362</v>
      </c>
      <c r="AM104" s="208">
        <v>2140</v>
      </c>
      <c r="AN104" s="208">
        <v>2614.17</v>
      </c>
      <c r="AO104" s="208">
        <v>1573.15</v>
      </c>
      <c r="AP104" s="207" t="s">
        <v>386</v>
      </c>
      <c r="AQ104" s="208" t="s">
        <v>386</v>
      </c>
      <c r="AR104" s="208" t="s">
        <v>386</v>
      </c>
      <c r="AS104" s="208" t="s">
        <v>386</v>
      </c>
      <c r="AT104" s="209" t="s">
        <v>386</v>
      </c>
      <c r="AU104" s="208" t="s">
        <v>386</v>
      </c>
      <c r="AV104" s="208" t="s">
        <v>386</v>
      </c>
      <c r="AW104" s="208" t="s">
        <v>386</v>
      </c>
      <c r="AX104" s="208" t="s">
        <v>386</v>
      </c>
      <c r="AY104" s="208" t="s">
        <v>386</v>
      </c>
      <c r="AZ104" s="207" t="s">
        <v>386</v>
      </c>
      <c r="BA104" s="208" t="s">
        <v>386</v>
      </c>
      <c r="BB104" s="208" t="s">
        <v>386</v>
      </c>
      <c r="BC104" s="208" t="s">
        <v>386</v>
      </c>
      <c r="BD104" s="209" t="s">
        <v>386</v>
      </c>
      <c r="BE104" s="208" t="s">
        <v>386</v>
      </c>
      <c r="BF104" s="208" t="s">
        <v>386</v>
      </c>
      <c r="BG104" s="208" t="s">
        <v>386</v>
      </c>
      <c r="BH104" s="208" t="s">
        <v>386</v>
      </c>
      <c r="BI104" s="208" t="s">
        <v>386</v>
      </c>
      <c r="BJ104" s="207" t="s">
        <v>386</v>
      </c>
      <c r="BK104" s="208" t="s">
        <v>386</v>
      </c>
      <c r="BL104" s="208" t="s">
        <v>386</v>
      </c>
      <c r="BM104" s="208" t="s">
        <v>386</v>
      </c>
      <c r="BN104" s="209" t="s">
        <v>386</v>
      </c>
      <c r="BO104" s="208" t="s">
        <v>386</v>
      </c>
      <c r="BP104" s="208" t="s">
        <v>386</v>
      </c>
      <c r="BQ104" s="208" t="s">
        <v>386</v>
      </c>
      <c r="BR104" s="208" t="s">
        <v>386</v>
      </c>
      <c r="BS104" s="209" t="s">
        <v>386</v>
      </c>
      <c r="BT104" s="215" t="s">
        <v>386</v>
      </c>
      <c r="BU104" s="215" t="s">
        <v>386</v>
      </c>
      <c r="BV104" s="215" t="s">
        <v>386</v>
      </c>
      <c r="BW104" s="215" t="s">
        <v>386</v>
      </c>
      <c r="BX104" s="406" t="s">
        <v>386</v>
      </c>
      <c r="BY104" s="215" t="s">
        <v>386</v>
      </c>
      <c r="BZ104" s="215" t="s">
        <v>386</v>
      </c>
      <c r="CA104" s="215" t="s">
        <v>386</v>
      </c>
      <c r="CB104" s="215" t="s">
        <v>386</v>
      </c>
      <c r="CC104" s="215" t="s">
        <v>386</v>
      </c>
      <c r="CD104" s="207" t="s">
        <v>386</v>
      </c>
      <c r="CE104" s="208" t="s">
        <v>386</v>
      </c>
      <c r="CF104" s="208" t="s">
        <v>386</v>
      </c>
      <c r="CG104" s="208" t="s">
        <v>386</v>
      </c>
      <c r="CH104" s="209" t="s">
        <v>386</v>
      </c>
    </row>
    <row r="105" spans="1:86" x14ac:dyDescent="0.25">
      <c r="A105" s="107" t="s">
        <v>132</v>
      </c>
      <c r="B105" s="213">
        <v>31.2</v>
      </c>
      <c r="C105" s="214">
        <v>33.6</v>
      </c>
      <c r="D105" s="214">
        <v>32.799999999999997</v>
      </c>
      <c r="E105" s="214">
        <v>32.799999999999997</v>
      </c>
      <c r="F105" s="214">
        <v>42.77</v>
      </c>
      <c r="G105" s="213">
        <v>53.449999999999996</v>
      </c>
      <c r="H105" s="214">
        <v>31.9</v>
      </c>
      <c r="I105" s="214">
        <v>46.760000000000005</v>
      </c>
      <c r="J105" s="214">
        <v>31.299999999999997</v>
      </c>
      <c r="K105" s="217">
        <v>48.82</v>
      </c>
      <c r="L105" s="214">
        <v>197.32999999999998</v>
      </c>
      <c r="M105" s="214">
        <v>116.6</v>
      </c>
      <c r="N105" s="214">
        <v>185.95000000000002</v>
      </c>
      <c r="O105" s="214">
        <v>111.88</v>
      </c>
      <c r="P105" s="214">
        <v>179.20000000000002</v>
      </c>
      <c r="Q105" s="213">
        <v>52</v>
      </c>
      <c r="R105" s="214">
        <v>62.75</v>
      </c>
      <c r="S105" s="214">
        <v>67.800000000000011</v>
      </c>
      <c r="T105" s="214">
        <v>87.56</v>
      </c>
      <c r="U105" s="217">
        <v>86.350000000000009</v>
      </c>
      <c r="V105" s="214">
        <v>41.6</v>
      </c>
      <c r="W105" s="214">
        <v>41.6</v>
      </c>
      <c r="X105" s="214">
        <v>47.9</v>
      </c>
      <c r="Y105" s="214">
        <v>42.4</v>
      </c>
      <c r="Z105" s="214">
        <v>62.4</v>
      </c>
      <c r="AA105" s="207" t="s">
        <v>386</v>
      </c>
      <c r="AB105" s="208" t="s">
        <v>386</v>
      </c>
      <c r="AC105" s="208" t="s">
        <v>386</v>
      </c>
      <c r="AD105" s="208" t="s">
        <v>386</v>
      </c>
      <c r="AE105" s="208" t="s">
        <v>386</v>
      </c>
      <c r="AF105" s="229">
        <v>71</v>
      </c>
      <c r="AG105" s="220">
        <v>94</v>
      </c>
      <c r="AH105" s="220">
        <v>81.83</v>
      </c>
      <c r="AI105" s="220">
        <v>88.21</v>
      </c>
      <c r="AJ105" s="224">
        <v>79.52</v>
      </c>
      <c r="AK105" s="214">
        <v>1411</v>
      </c>
      <c r="AL105" s="214">
        <v>1362</v>
      </c>
      <c r="AM105" s="214">
        <v>2140</v>
      </c>
      <c r="AN105" s="214">
        <v>2614.17</v>
      </c>
      <c r="AO105" s="214">
        <v>1573.15</v>
      </c>
      <c r="AP105" s="213">
        <v>1445.09</v>
      </c>
      <c r="AQ105" s="214">
        <v>2185.46</v>
      </c>
      <c r="AR105" s="214">
        <v>2593.81</v>
      </c>
      <c r="AS105" s="214">
        <v>2553.84</v>
      </c>
      <c r="AT105" s="217">
        <v>1845.18</v>
      </c>
      <c r="AU105" s="208" t="s">
        <v>386</v>
      </c>
      <c r="AV105" s="208" t="s">
        <v>386</v>
      </c>
      <c r="AW105" s="208" t="s">
        <v>386</v>
      </c>
      <c r="AX105" s="208" t="s">
        <v>386</v>
      </c>
      <c r="AY105" s="208" t="s">
        <v>386</v>
      </c>
      <c r="AZ105" s="207" t="s">
        <v>386</v>
      </c>
      <c r="BA105" s="208" t="s">
        <v>386</v>
      </c>
      <c r="BB105" s="208" t="s">
        <v>386</v>
      </c>
      <c r="BC105" s="208" t="s">
        <v>386</v>
      </c>
      <c r="BD105" s="209" t="s">
        <v>386</v>
      </c>
      <c r="BE105" s="208" t="s">
        <v>386</v>
      </c>
      <c r="BF105" s="208" t="s">
        <v>386</v>
      </c>
      <c r="BG105" s="208" t="s">
        <v>386</v>
      </c>
      <c r="BH105" s="208" t="s">
        <v>386</v>
      </c>
      <c r="BI105" s="208" t="s">
        <v>386</v>
      </c>
      <c r="BJ105" s="207" t="s">
        <v>386</v>
      </c>
      <c r="BK105" s="208" t="s">
        <v>386</v>
      </c>
      <c r="BL105" s="208" t="s">
        <v>386</v>
      </c>
      <c r="BM105" s="208" t="s">
        <v>386</v>
      </c>
      <c r="BN105" s="209" t="s">
        <v>386</v>
      </c>
      <c r="BO105" s="208" t="s">
        <v>386</v>
      </c>
      <c r="BP105" s="208" t="s">
        <v>386</v>
      </c>
      <c r="BQ105" s="208" t="s">
        <v>386</v>
      </c>
      <c r="BR105" s="208" t="s">
        <v>386</v>
      </c>
      <c r="BS105" s="209" t="s">
        <v>386</v>
      </c>
      <c r="BT105" s="215" t="s">
        <v>386</v>
      </c>
      <c r="BU105" s="215" t="s">
        <v>386</v>
      </c>
      <c r="BV105" s="215" t="s">
        <v>386</v>
      </c>
      <c r="BW105" s="215" t="s">
        <v>386</v>
      </c>
      <c r="BX105" s="406" t="s">
        <v>386</v>
      </c>
      <c r="BY105" s="215" t="s">
        <v>386</v>
      </c>
      <c r="BZ105" s="215" t="s">
        <v>386</v>
      </c>
      <c r="CA105" s="215" t="s">
        <v>386</v>
      </c>
      <c r="CB105" s="215" t="s">
        <v>386</v>
      </c>
      <c r="CC105" s="215" t="s">
        <v>386</v>
      </c>
      <c r="CD105" s="207" t="s">
        <v>386</v>
      </c>
      <c r="CE105" s="208" t="s">
        <v>386</v>
      </c>
      <c r="CF105" s="208" t="s">
        <v>386</v>
      </c>
      <c r="CG105" s="208" t="s">
        <v>386</v>
      </c>
      <c r="CH105" s="209" t="s">
        <v>386</v>
      </c>
    </row>
    <row r="106" spans="1:86" x14ac:dyDescent="0.25">
      <c r="A106" s="107" t="s">
        <v>133</v>
      </c>
      <c r="B106" s="213">
        <v>46.6</v>
      </c>
      <c r="C106" s="214">
        <v>47.1</v>
      </c>
      <c r="D106" s="214">
        <v>58.1</v>
      </c>
      <c r="E106" s="214">
        <v>68.56</v>
      </c>
      <c r="F106" s="214">
        <v>27.22</v>
      </c>
      <c r="G106" s="213">
        <v>62.61</v>
      </c>
      <c r="H106" s="214">
        <v>64.13</v>
      </c>
      <c r="I106" s="214">
        <v>63.510000000000005</v>
      </c>
      <c r="J106" s="214">
        <v>43.01</v>
      </c>
      <c r="K106" s="217">
        <v>60.61</v>
      </c>
      <c r="L106" s="214">
        <v>219.48</v>
      </c>
      <c r="M106" s="214">
        <v>227.81</v>
      </c>
      <c r="N106" s="214">
        <v>231.46</v>
      </c>
      <c r="O106" s="214">
        <v>161.45000000000002</v>
      </c>
      <c r="P106" s="214">
        <v>221</v>
      </c>
      <c r="Q106" s="213">
        <v>55</v>
      </c>
      <c r="R106" s="214">
        <v>61</v>
      </c>
      <c r="S106" s="214">
        <v>73.2</v>
      </c>
      <c r="T106" s="214">
        <v>86.51</v>
      </c>
      <c r="U106" s="217">
        <v>85.65</v>
      </c>
      <c r="V106" s="214">
        <v>70.150000000000006</v>
      </c>
      <c r="W106" s="214">
        <v>96.61</v>
      </c>
      <c r="X106" s="214">
        <v>72.92</v>
      </c>
      <c r="Y106" s="214">
        <v>92.81</v>
      </c>
      <c r="Z106" s="214">
        <v>90.33</v>
      </c>
      <c r="AA106" s="207" t="s">
        <v>386</v>
      </c>
      <c r="AB106" s="208" t="s">
        <v>386</v>
      </c>
      <c r="AC106" s="208" t="s">
        <v>386</v>
      </c>
      <c r="AD106" s="208" t="s">
        <v>386</v>
      </c>
      <c r="AE106" s="208" t="s">
        <v>386</v>
      </c>
      <c r="AF106" s="229" t="s">
        <v>386</v>
      </c>
      <c r="AG106" s="220" t="s">
        <v>386</v>
      </c>
      <c r="AH106" s="220" t="s">
        <v>386</v>
      </c>
      <c r="AI106" s="220" t="s">
        <v>386</v>
      </c>
      <c r="AJ106" s="224" t="s">
        <v>386</v>
      </c>
      <c r="AK106" s="208" t="s">
        <v>386</v>
      </c>
      <c r="AL106" s="208" t="s">
        <v>386</v>
      </c>
      <c r="AM106" s="208" t="s">
        <v>386</v>
      </c>
      <c r="AN106" s="208" t="s">
        <v>386</v>
      </c>
      <c r="AO106" s="208" t="s">
        <v>386</v>
      </c>
      <c r="AP106" s="207" t="s">
        <v>386</v>
      </c>
      <c r="AQ106" s="208" t="s">
        <v>386</v>
      </c>
      <c r="AR106" s="208" t="s">
        <v>386</v>
      </c>
      <c r="AS106" s="208" t="s">
        <v>386</v>
      </c>
      <c r="AT106" s="209" t="s">
        <v>386</v>
      </c>
      <c r="AU106" s="208" t="s">
        <v>386</v>
      </c>
      <c r="AV106" s="208" t="s">
        <v>386</v>
      </c>
      <c r="AW106" s="208" t="s">
        <v>386</v>
      </c>
      <c r="AX106" s="208" t="s">
        <v>386</v>
      </c>
      <c r="AY106" s="208" t="s">
        <v>386</v>
      </c>
      <c r="AZ106" s="207" t="s">
        <v>386</v>
      </c>
      <c r="BA106" s="208" t="s">
        <v>386</v>
      </c>
      <c r="BB106" s="208" t="s">
        <v>386</v>
      </c>
      <c r="BC106" s="208" t="s">
        <v>386</v>
      </c>
      <c r="BD106" s="209" t="s">
        <v>386</v>
      </c>
      <c r="BE106" s="208" t="s">
        <v>386</v>
      </c>
      <c r="BF106" s="208" t="s">
        <v>386</v>
      </c>
      <c r="BG106" s="208" t="s">
        <v>386</v>
      </c>
      <c r="BH106" s="208" t="s">
        <v>386</v>
      </c>
      <c r="BI106" s="208" t="s">
        <v>386</v>
      </c>
      <c r="BJ106" s="207" t="s">
        <v>386</v>
      </c>
      <c r="BK106" s="208" t="s">
        <v>386</v>
      </c>
      <c r="BL106" s="208" t="s">
        <v>386</v>
      </c>
      <c r="BM106" s="208" t="s">
        <v>386</v>
      </c>
      <c r="BN106" s="209" t="s">
        <v>386</v>
      </c>
      <c r="BO106" s="208" t="s">
        <v>386</v>
      </c>
      <c r="BP106" s="208" t="s">
        <v>386</v>
      </c>
      <c r="BQ106" s="208" t="s">
        <v>386</v>
      </c>
      <c r="BR106" s="208" t="s">
        <v>386</v>
      </c>
      <c r="BS106" s="209" t="s">
        <v>386</v>
      </c>
      <c r="BT106" s="215" t="s">
        <v>386</v>
      </c>
      <c r="BU106" s="215" t="s">
        <v>386</v>
      </c>
      <c r="BV106" s="215" t="s">
        <v>386</v>
      </c>
      <c r="BW106" s="215" t="s">
        <v>386</v>
      </c>
      <c r="BX106" s="406" t="s">
        <v>386</v>
      </c>
      <c r="BY106" s="215" t="s">
        <v>386</v>
      </c>
      <c r="BZ106" s="215" t="s">
        <v>386</v>
      </c>
      <c r="CA106" s="215" t="s">
        <v>386</v>
      </c>
      <c r="CB106" s="215" t="s">
        <v>386</v>
      </c>
      <c r="CC106" s="215" t="s">
        <v>386</v>
      </c>
      <c r="CD106" s="207" t="s">
        <v>386</v>
      </c>
      <c r="CE106" s="208" t="s">
        <v>386</v>
      </c>
      <c r="CF106" s="208" t="s">
        <v>386</v>
      </c>
      <c r="CG106" s="208" t="s">
        <v>386</v>
      </c>
      <c r="CH106" s="209" t="s">
        <v>386</v>
      </c>
    </row>
    <row r="107" spans="1:86" x14ac:dyDescent="0.25">
      <c r="A107" s="107" t="s">
        <v>134</v>
      </c>
      <c r="B107" s="213">
        <v>45.52</v>
      </c>
      <c r="C107" s="214">
        <v>67.349999999999994</v>
      </c>
      <c r="D107" s="214">
        <v>59.41</v>
      </c>
      <c r="E107" s="214">
        <v>64.73</v>
      </c>
      <c r="F107" s="214">
        <v>40</v>
      </c>
      <c r="G107" s="213">
        <v>60.59</v>
      </c>
      <c r="H107" s="214">
        <v>59.050000000000004</v>
      </c>
      <c r="I107" s="214">
        <v>50.81</v>
      </c>
      <c r="J107" s="214">
        <v>51.73</v>
      </c>
      <c r="K107" s="217">
        <v>45.129999999999995</v>
      </c>
      <c r="L107" s="214">
        <v>220.68</v>
      </c>
      <c r="M107" s="214">
        <v>213.89</v>
      </c>
      <c r="N107" s="214">
        <v>200.43</v>
      </c>
      <c r="O107" s="214">
        <v>201.73</v>
      </c>
      <c r="P107" s="214">
        <v>175.23999999999998</v>
      </c>
      <c r="Q107" s="213">
        <v>55</v>
      </c>
      <c r="R107" s="214">
        <v>61</v>
      </c>
      <c r="S107" s="214">
        <v>73.2</v>
      </c>
      <c r="T107" s="214">
        <v>86.51</v>
      </c>
      <c r="U107" s="217">
        <v>85.65</v>
      </c>
      <c r="V107" s="214">
        <v>82.19</v>
      </c>
      <c r="W107" s="214">
        <v>98.54</v>
      </c>
      <c r="X107" s="214">
        <v>107.7</v>
      </c>
      <c r="Y107" s="214">
        <v>104.38</v>
      </c>
      <c r="Z107" s="214">
        <v>82.55</v>
      </c>
      <c r="AA107" s="207" t="s">
        <v>386</v>
      </c>
      <c r="AB107" s="208" t="s">
        <v>386</v>
      </c>
      <c r="AC107" s="208" t="s">
        <v>386</v>
      </c>
      <c r="AD107" s="208" t="s">
        <v>386</v>
      </c>
      <c r="AE107" s="208" t="s">
        <v>386</v>
      </c>
      <c r="AF107" s="229">
        <v>71</v>
      </c>
      <c r="AG107" s="220">
        <v>94</v>
      </c>
      <c r="AH107" s="220">
        <v>81.83</v>
      </c>
      <c r="AI107" s="220">
        <v>88.21</v>
      </c>
      <c r="AJ107" s="224">
        <v>79.52</v>
      </c>
      <c r="AK107" s="208" t="s">
        <v>386</v>
      </c>
      <c r="AL107" s="208" t="s">
        <v>386</v>
      </c>
      <c r="AM107" s="208" t="s">
        <v>386</v>
      </c>
      <c r="AN107" s="208" t="s">
        <v>386</v>
      </c>
      <c r="AO107" s="208" t="s">
        <v>386</v>
      </c>
      <c r="AP107" s="207" t="s">
        <v>386</v>
      </c>
      <c r="AQ107" s="208" t="s">
        <v>386</v>
      </c>
      <c r="AR107" s="208" t="s">
        <v>386</v>
      </c>
      <c r="AS107" s="208" t="s">
        <v>386</v>
      </c>
      <c r="AT107" s="209" t="s">
        <v>386</v>
      </c>
      <c r="AU107" s="208" t="s">
        <v>386</v>
      </c>
      <c r="AV107" s="208" t="s">
        <v>386</v>
      </c>
      <c r="AW107" s="208" t="s">
        <v>386</v>
      </c>
      <c r="AX107" s="208" t="s">
        <v>386</v>
      </c>
      <c r="AY107" s="208" t="s">
        <v>386</v>
      </c>
      <c r="AZ107" s="207" t="s">
        <v>386</v>
      </c>
      <c r="BA107" s="208" t="s">
        <v>386</v>
      </c>
      <c r="BB107" s="208" t="s">
        <v>386</v>
      </c>
      <c r="BC107" s="208" t="s">
        <v>386</v>
      </c>
      <c r="BD107" s="209" t="s">
        <v>386</v>
      </c>
      <c r="BE107" s="208" t="s">
        <v>386</v>
      </c>
      <c r="BF107" s="208" t="s">
        <v>386</v>
      </c>
      <c r="BG107" s="208" t="s">
        <v>386</v>
      </c>
      <c r="BH107" s="208" t="s">
        <v>386</v>
      </c>
      <c r="BI107" s="208" t="s">
        <v>386</v>
      </c>
      <c r="BJ107" s="207" t="s">
        <v>386</v>
      </c>
      <c r="BK107" s="208" t="s">
        <v>386</v>
      </c>
      <c r="BL107" s="208" t="s">
        <v>386</v>
      </c>
      <c r="BM107" s="208" t="s">
        <v>386</v>
      </c>
      <c r="BN107" s="209" t="s">
        <v>386</v>
      </c>
      <c r="BO107" s="208" t="s">
        <v>386</v>
      </c>
      <c r="BP107" s="208" t="s">
        <v>386</v>
      </c>
      <c r="BQ107" s="208" t="s">
        <v>386</v>
      </c>
      <c r="BR107" s="208" t="s">
        <v>386</v>
      </c>
      <c r="BS107" s="209" t="s">
        <v>386</v>
      </c>
      <c r="BT107" s="215" t="s">
        <v>386</v>
      </c>
      <c r="BU107" s="215" t="s">
        <v>386</v>
      </c>
      <c r="BV107" s="215" t="s">
        <v>386</v>
      </c>
      <c r="BW107" s="215" t="s">
        <v>386</v>
      </c>
      <c r="BX107" s="406" t="s">
        <v>386</v>
      </c>
      <c r="BY107" s="215" t="s">
        <v>386</v>
      </c>
      <c r="BZ107" s="215" t="s">
        <v>386</v>
      </c>
      <c r="CA107" s="215" t="s">
        <v>386</v>
      </c>
      <c r="CB107" s="215" t="s">
        <v>386</v>
      </c>
      <c r="CC107" s="215" t="s">
        <v>386</v>
      </c>
      <c r="CD107" s="207" t="s">
        <v>386</v>
      </c>
      <c r="CE107" s="208" t="s">
        <v>386</v>
      </c>
      <c r="CF107" s="208" t="s">
        <v>386</v>
      </c>
      <c r="CG107" s="208" t="s">
        <v>386</v>
      </c>
      <c r="CH107" s="209" t="s">
        <v>386</v>
      </c>
    </row>
    <row r="108" spans="1:86" x14ac:dyDescent="0.25">
      <c r="A108" s="107" t="s">
        <v>135</v>
      </c>
      <c r="B108" s="213">
        <v>41.18</v>
      </c>
      <c r="C108" s="214">
        <v>58.05</v>
      </c>
      <c r="D108" s="214">
        <v>60.31</v>
      </c>
      <c r="E108" s="214">
        <v>58.92</v>
      </c>
      <c r="F108" s="214">
        <v>47.4</v>
      </c>
      <c r="G108" s="213">
        <v>65.91</v>
      </c>
      <c r="H108" s="214">
        <v>67.17</v>
      </c>
      <c r="I108" s="214">
        <v>63.05</v>
      </c>
      <c r="J108" s="214">
        <v>58.84</v>
      </c>
      <c r="K108" s="217">
        <v>54.02</v>
      </c>
      <c r="L108" s="214">
        <v>227.91</v>
      </c>
      <c r="M108" s="214">
        <v>224.59</v>
      </c>
      <c r="N108" s="214">
        <v>219.97</v>
      </c>
      <c r="O108" s="214">
        <v>204.38</v>
      </c>
      <c r="P108" s="214">
        <v>188.04</v>
      </c>
      <c r="Q108" s="213">
        <v>55</v>
      </c>
      <c r="R108" s="214">
        <v>61</v>
      </c>
      <c r="S108" s="214">
        <v>73.2</v>
      </c>
      <c r="T108" s="214">
        <v>86.51</v>
      </c>
      <c r="U108" s="217">
        <v>85.65</v>
      </c>
      <c r="V108" s="214">
        <v>82</v>
      </c>
      <c r="W108" s="214">
        <v>100.21</v>
      </c>
      <c r="X108" s="214">
        <v>72.7</v>
      </c>
      <c r="Y108" s="214">
        <v>61.6</v>
      </c>
      <c r="Z108" s="214">
        <v>78</v>
      </c>
      <c r="AA108" s="207" t="s">
        <v>386</v>
      </c>
      <c r="AB108" s="208" t="s">
        <v>386</v>
      </c>
      <c r="AC108" s="208" t="s">
        <v>386</v>
      </c>
      <c r="AD108" s="208" t="s">
        <v>386</v>
      </c>
      <c r="AE108" s="208" t="s">
        <v>386</v>
      </c>
      <c r="AF108" s="362" t="s">
        <v>386</v>
      </c>
      <c r="AG108" s="363" t="s">
        <v>386</v>
      </c>
      <c r="AH108" s="363" t="s">
        <v>386</v>
      </c>
      <c r="AI108" s="363" t="s">
        <v>386</v>
      </c>
      <c r="AJ108" s="364" t="s">
        <v>386</v>
      </c>
      <c r="AK108" s="208" t="s">
        <v>386</v>
      </c>
      <c r="AL108" s="208" t="s">
        <v>386</v>
      </c>
      <c r="AM108" s="208" t="s">
        <v>386</v>
      </c>
      <c r="AN108" s="208" t="s">
        <v>386</v>
      </c>
      <c r="AO108" s="208" t="s">
        <v>386</v>
      </c>
      <c r="AP108" s="207" t="s">
        <v>386</v>
      </c>
      <c r="AQ108" s="208" t="s">
        <v>386</v>
      </c>
      <c r="AR108" s="208" t="s">
        <v>386</v>
      </c>
      <c r="AS108" s="208" t="s">
        <v>386</v>
      </c>
      <c r="AT108" s="209" t="s">
        <v>386</v>
      </c>
      <c r="AU108" s="208" t="s">
        <v>386</v>
      </c>
      <c r="AV108" s="208" t="s">
        <v>386</v>
      </c>
      <c r="AW108" s="208" t="s">
        <v>386</v>
      </c>
      <c r="AX108" s="208" t="s">
        <v>386</v>
      </c>
      <c r="AY108" s="208" t="s">
        <v>386</v>
      </c>
      <c r="AZ108" s="207" t="s">
        <v>386</v>
      </c>
      <c r="BA108" s="208" t="s">
        <v>386</v>
      </c>
      <c r="BB108" s="208" t="s">
        <v>386</v>
      </c>
      <c r="BC108" s="208" t="s">
        <v>386</v>
      </c>
      <c r="BD108" s="209" t="s">
        <v>386</v>
      </c>
      <c r="BE108" s="208" t="s">
        <v>386</v>
      </c>
      <c r="BF108" s="208" t="s">
        <v>386</v>
      </c>
      <c r="BG108" s="208" t="s">
        <v>386</v>
      </c>
      <c r="BH108" s="208" t="s">
        <v>386</v>
      </c>
      <c r="BI108" s="208" t="s">
        <v>386</v>
      </c>
      <c r="BJ108" s="207" t="s">
        <v>386</v>
      </c>
      <c r="BK108" s="208" t="s">
        <v>386</v>
      </c>
      <c r="BL108" s="208" t="s">
        <v>386</v>
      </c>
      <c r="BM108" s="208" t="s">
        <v>386</v>
      </c>
      <c r="BN108" s="209" t="s">
        <v>386</v>
      </c>
      <c r="BO108" s="208" t="s">
        <v>386</v>
      </c>
      <c r="BP108" s="208" t="s">
        <v>386</v>
      </c>
      <c r="BQ108" s="208" t="s">
        <v>386</v>
      </c>
      <c r="BR108" s="208" t="s">
        <v>386</v>
      </c>
      <c r="BS108" s="209" t="s">
        <v>386</v>
      </c>
      <c r="BT108" s="208" t="s">
        <v>386</v>
      </c>
      <c r="BU108" s="208" t="s">
        <v>386</v>
      </c>
      <c r="BV108" s="208" t="s">
        <v>386</v>
      </c>
      <c r="BW108" s="208" t="s">
        <v>386</v>
      </c>
      <c r="BX108" s="209" t="s">
        <v>386</v>
      </c>
      <c r="BY108" s="208" t="s">
        <v>386</v>
      </c>
      <c r="BZ108" s="208" t="s">
        <v>386</v>
      </c>
      <c r="CA108" s="208" t="s">
        <v>386</v>
      </c>
      <c r="CB108" s="208" t="s">
        <v>386</v>
      </c>
      <c r="CC108" s="208" t="s">
        <v>386</v>
      </c>
      <c r="CD108" s="207" t="s">
        <v>386</v>
      </c>
      <c r="CE108" s="208" t="s">
        <v>386</v>
      </c>
      <c r="CF108" s="208" t="s">
        <v>386</v>
      </c>
      <c r="CG108" s="208" t="s">
        <v>386</v>
      </c>
      <c r="CH108" s="209" t="s">
        <v>386</v>
      </c>
    </row>
    <row r="109" spans="1:86" x14ac:dyDescent="0.25">
      <c r="A109" s="107" t="s">
        <v>136</v>
      </c>
      <c r="B109" s="213">
        <v>57.16</v>
      </c>
      <c r="C109" s="214">
        <v>69.73</v>
      </c>
      <c r="D109" s="214">
        <v>74.69</v>
      </c>
      <c r="E109" s="214">
        <v>61.3</v>
      </c>
      <c r="F109" s="214">
        <v>51.15</v>
      </c>
      <c r="G109" s="213">
        <v>57.28</v>
      </c>
      <c r="H109" s="214">
        <v>67.13</v>
      </c>
      <c r="I109" s="214">
        <v>54.6</v>
      </c>
      <c r="J109" s="214">
        <v>57.63</v>
      </c>
      <c r="K109" s="217">
        <v>45.5</v>
      </c>
      <c r="L109" s="214">
        <v>201.58</v>
      </c>
      <c r="M109" s="214">
        <v>230.12</v>
      </c>
      <c r="N109" s="214">
        <v>210.35999999999999</v>
      </c>
      <c r="O109" s="214">
        <v>206.36999999999998</v>
      </c>
      <c r="P109" s="214">
        <v>182.57000000000002</v>
      </c>
      <c r="Q109" s="213">
        <v>55</v>
      </c>
      <c r="R109" s="214">
        <v>61</v>
      </c>
      <c r="S109" s="214">
        <v>73.2</v>
      </c>
      <c r="T109" s="214">
        <v>86.51</v>
      </c>
      <c r="U109" s="217">
        <v>85.65</v>
      </c>
      <c r="V109" s="214">
        <v>94.78</v>
      </c>
      <c r="W109" s="214">
        <v>84</v>
      </c>
      <c r="X109" s="214">
        <v>113.71</v>
      </c>
      <c r="Y109" s="214">
        <v>101.54</v>
      </c>
      <c r="Z109" s="214">
        <v>80</v>
      </c>
      <c r="AA109" s="207" t="s">
        <v>386</v>
      </c>
      <c r="AB109" s="208" t="s">
        <v>386</v>
      </c>
      <c r="AC109" s="208" t="s">
        <v>386</v>
      </c>
      <c r="AD109" s="208" t="s">
        <v>386</v>
      </c>
      <c r="AE109" s="208" t="s">
        <v>386</v>
      </c>
      <c r="AF109" s="229">
        <v>71</v>
      </c>
      <c r="AG109" s="220">
        <v>94</v>
      </c>
      <c r="AH109" s="220">
        <v>81.83</v>
      </c>
      <c r="AI109" s="220">
        <v>88.21</v>
      </c>
      <c r="AJ109" s="224">
        <v>79.52</v>
      </c>
      <c r="AK109" s="208" t="s">
        <v>386</v>
      </c>
      <c r="AL109" s="208" t="s">
        <v>386</v>
      </c>
      <c r="AM109" s="208" t="s">
        <v>386</v>
      </c>
      <c r="AN109" s="208" t="s">
        <v>386</v>
      </c>
      <c r="AO109" s="208" t="s">
        <v>386</v>
      </c>
      <c r="AP109" s="207" t="s">
        <v>386</v>
      </c>
      <c r="AQ109" s="208" t="s">
        <v>386</v>
      </c>
      <c r="AR109" s="208" t="s">
        <v>386</v>
      </c>
      <c r="AS109" s="208" t="s">
        <v>386</v>
      </c>
      <c r="AT109" s="209" t="s">
        <v>386</v>
      </c>
      <c r="AU109" s="214">
        <v>2398</v>
      </c>
      <c r="AV109" s="214">
        <v>1520</v>
      </c>
      <c r="AW109" s="214">
        <v>2058.5</v>
      </c>
      <c r="AX109" s="214">
        <v>2300</v>
      </c>
      <c r="AY109" s="214">
        <v>2431</v>
      </c>
      <c r="AZ109" s="207" t="s">
        <v>386</v>
      </c>
      <c r="BA109" s="208" t="s">
        <v>386</v>
      </c>
      <c r="BB109" s="208" t="s">
        <v>386</v>
      </c>
      <c r="BC109" s="208" t="s">
        <v>386</v>
      </c>
      <c r="BD109" s="209" t="s">
        <v>386</v>
      </c>
      <c r="BE109" s="208" t="s">
        <v>386</v>
      </c>
      <c r="BF109" s="208" t="s">
        <v>386</v>
      </c>
      <c r="BG109" s="208" t="s">
        <v>386</v>
      </c>
      <c r="BH109" s="208" t="s">
        <v>386</v>
      </c>
      <c r="BI109" s="208" t="s">
        <v>386</v>
      </c>
      <c r="BJ109" s="207" t="s">
        <v>386</v>
      </c>
      <c r="BK109" s="208" t="s">
        <v>386</v>
      </c>
      <c r="BL109" s="208" t="s">
        <v>386</v>
      </c>
      <c r="BM109" s="208" t="s">
        <v>386</v>
      </c>
      <c r="BN109" s="209" t="s">
        <v>386</v>
      </c>
      <c r="BO109" s="208" t="s">
        <v>386</v>
      </c>
      <c r="BP109" s="208" t="s">
        <v>386</v>
      </c>
      <c r="BQ109" s="208" t="s">
        <v>386</v>
      </c>
      <c r="BR109" s="208" t="s">
        <v>386</v>
      </c>
      <c r="BS109" s="209" t="s">
        <v>386</v>
      </c>
      <c r="BT109" s="208" t="s">
        <v>386</v>
      </c>
      <c r="BU109" s="208" t="s">
        <v>386</v>
      </c>
      <c r="BV109" s="208" t="s">
        <v>386</v>
      </c>
      <c r="BW109" s="208" t="s">
        <v>386</v>
      </c>
      <c r="BX109" s="209" t="s">
        <v>386</v>
      </c>
      <c r="BY109" s="208" t="s">
        <v>386</v>
      </c>
      <c r="BZ109" s="208" t="s">
        <v>386</v>
      </c>
      <c r="CA109" s="208" t="s">
        <v>386</v>
      </c>
      <c r="CB109" s="208" t="s">
        <v>386</v>
      </c>
      <c r="CC109" s="208" t="s">
        <v>386</v>
      </c>
      <c r="CD109" s="207" t="s">
        <v>386</v>
      </c>
      <c r="CE109" s="208" t="s">
        <v>386</v>
      </c>
      <c r="CF109" s="208" t="s">
        <v>386</v>
      </c>
      <c r="CG109" s="208" t="s">
        <v>386</v>
      </c>
      <c r="CH109" s="209" t="s">
        <v>386</v>
      </c>
    </row>
    <row r="110" spans="1:86" x14ac:dyDescent="0.25">
      <c r="A110" s="107" t="s">
        <v>137</v>
      </c>
      <c r="B110" s="213">
        <v>64.760000000000005</v>
      </c>
      <c r="C110" s="214">
        <v>57.96</v>
      </c>
      <c r="D110" s="214">
        <v>72.459999999999994</v>
      </c>
      <c r="E110" s="214">
        <v>75.760000000000005</v>
      </c>
      <c r="F110" s="214">
        <v>68.099999999999994</v>
      </c>
      <c r="G110" s="213">
        <v>39.53</v>
      </c>
      <c r="H110" s="214">
        <v>31.8</v>
      </c>
      <c r="I110" s="214">
        <v>44.78</v>
      </c>
      <c r="J110" s="214">
        <v>40.39</v>
      </c>
      <c r="K110" s="217">
        <v>38.29</v>
      </c>
      <c r="L110" s="214">
        <v>177.97</v>
      </c>
      <c r="M110" s="214">
        <v>129.30000000000001</v>
      </c>
      <c r="N110" s="214">
        <v>185.03</v>
      </c>
      <c r="O110" s="214">
        <v>177.35999999999999</v>
      </c>
      <c r="P110" s="214">
        <v>166.18</v>
      </c>
      <c r="Q110" s="213">
        <v>58.62</v>
      </c>
      <c r="R110" s="214">
        <v>73.63</v>
      </c>
      <c r="S110" s="214">
        <v>86.14</v>
      </c>
      <c r="T110" s="214">
        <v>77.8</v>
      </c>
      <c r="U110" s="217">
        <v>93.61999999999999</v>
      </c>
      <c r="V110" s="214">
        <v>65.89</v>
      </c>
      <c r="W110" s="214">
        <v>74.59</v>
      </c>
      <c r="X110" s="214">
        <v>77.73</v>
      </c>
      <c r="Y110" s="214">
        <v>89.86</v>
      </c>
      <c r="Z110" s="214">
        <v>64.8</v>
      </c>
      <c r="AA110" s="213">
        <v>16.3</v>
      </c>
      <c r="AB110" s="214">
        <v>18.899999999999999</v>
      </c>
      <c r="AC110" s="214">
        <v>31.94</v>
      </c>
      <c r="AD110" s="214">
        <v>20.38</v>
      </c>
      <c r="AE110" s="214">
        <v>25.02</v>
      </c>
      <c r="AF110" s="362" t="s">
        <v>386</v>
      </c>
      <c r="AG110" s="363" t="s">
        <v>386</v>
      </c>
      <c r="AH110" s="363" t="s">
        <v>386</v>
      </c>
      <c r="AI110" s="363" t="s">
        <v>386</v>
      </c>
      <c r="AJ110" s="364" t="s">
        <v>386</v>
      </c>
      <c r="AK110" s="208" t="s">
        <v>386</v>
      </c>
      <c r="AL110" s="208" t="s">
        <v>386</v>
      </c>
      <c r="AM110" s="208" t="s">
        <v>386</v>
      </c>
      <c r="AN110" s="208" t="s">
        <v>386</v>
      </c>
      <c r="AO110" s="208" t="s">
        <v>386</v>
      </c>
      <c r="AP110" s="213">
        <v>2476.1299999999997</v>
      </c>
      <c r="AQ110" s="214">
        <v>1544.92</v>
      </c>
      <c r="AR110" s="214">
        <v>2748.8300000000004</v>
      </c>
      <c r="AS110" s="214">
        <v>2951.45</v>
      </c>
      <c r="AT110" s="217">
        <v>1807.69</v>
      </c>
      <c r="AU110" s="208" t="s">
        <v>386</v>
      </c>
      <c r="AV110" s="208" t="s">
        <v>386</v>
      </c>
      <c r="AW110" s="208" t="s">
        <v>386</v>
      </c>
      <c r="AX110" s="208" t="s">
        <v>386</v>
      </c>
      <c r="AY110" s="208" t="s">
        <v>386</v>
      </c>
      <c r="AZ110" s="207" t="s">
        <v>386</v>
      </c>
      <c r="BA110" s="208" t="s">
        <v>386</v>
      </c>
      <c r="BB110" s="208" t="s">
        <v>386</v>
      </c>
      <c r="BC110" s="208" t="s">
        <v>386</v>
      </c>
      <c r="BD110" s="209" t="s">
        <v>386</v>
      </c>
      <c r="BE110" s="208" t="s">
        <v>386</v>
      </c>
      <c r="BF110" s="208" t="s">
        <v>386</v>
      </c>
      <c r="BG110" s="208" t="s">
        <v>386</v>
      </c>
      <c r="BH110" s="208" t="s">
        <v>386</v>
      </c>
      <c r="BI110" s="208" t="s">
        <v>386</v>
      </c>
      <c r="BJ110" s="207" t="s">
        <v>386</v>
      </c>
      <c r="BK110" s="208" t="s">
        <v>386</v>
      </c>
      <c r="BL110" s="208" t="s">
        <v>386</v>
      </c>
      <c r="BM110" s="208" t="s">
        <v>386</v>
      </c>
      <c r="BN110" s="209" t="s">
        <v>386</v>
      </c>
      <c r="BO110" s="208" t="s">
        <v>386</v>
      </c>
      <c r="BP110" s="208" t="s">
        <v>386</v>
      </c>
      <c r="BQ110" s="208" t="s">
        <v>386</v>
      </c>
      <c r="BR110" s="208" t="s">
        <v>386</v>
      </c>
      <c r="BS110" s="209" t="s">
        <v>386</v>
      </c>
      <c r="BT110" s="208" t="s">
        <v>386</v>
      </c>
      <c r="BU110" s="208" t="s">
        <v>386</v>
      </c>
      <c r="BV110" s="208" t="s">
        <v>386</v>
      </c>
      <c r="BW110" s="208" t="s">
        <v>386</v>
      </c>
      <c r="BX110" s="209" t="s">
        <v>386</v>
      </c>
      <c r="BY110" s="208" t="s">
        <v>386</v>
      </c>
      <c r="BZ110" s="208" t="s">
        <v>386</v>
      </c>
      <c r="CA110" s="208" t="s">
        <v>386</v>
      </c>
      <c r="CB110" s="208" t="s">
        <v>386</v>
      </c>
      <c r="CC110" s="208" t="s">
        <v>386</v>
      </c>
      <c r="CD110" s="207" t="s">
        <v>386</v>
      </c>
      <c r="CE110" s="208" t="s">
        <v>386</v>
      </c>
      <c r="CF110" s="208" t="s">
        <v>386</v>
      </c>
      <c r="CG110" s="208" t="s">
        <v>386</v>
      </c>
      <c r="CH110" s="209" t="s">
        <v>386</v>
      </c>
    </row>
    <row r="111" spans="1:86" x14ac:dyDescent="0.25">
      <c r="A111" s="107" t="s">
        <v>138</v>
      </c>
      <c r="B111" s="213">
        <v>46.85</v>
      </c>
      <c r="C111" s="214">
        <v>47.1</v>
      </c>
      <c r="D111" s="214">
        <v>57.76</v>
      </c>
      <c r="E111" s="214">
        <v>68.56</v>
      </c>
      <c r="F111" s="214">
        <v>69.959999999999994</v>
      </c>
      <c r="G111" s="207" t="s">
        <v>386</v>
      </c>
      <c r="H111" s="208" t="s">
        <v>386</v>
      </c>
      <c r="I111" s="208" t="s">
        <v>386</v>
      </c>
      <c r="J111" s="208" t="s">
        <v>386</v>
      </c>
      <c r="K111" s="209" t="s">
        <v>386</v>
      </c>
      <c r="L111" s="214">
        <v>85.6</v>
      </c>
      <c r="M111" s="214">
        <v>118</v>
      </c>
      <c r="N111" s="214">
        <v>158</v>
      </c>
      <c r="O111" s="214">
        <v>157.69</v>
      </c>
      <c r="P111" s="214">
        <v>80.75</v>
      </c>
      <c r="Q111" s="213">
        <v>56.7</v>
      </c>
      <c r="R111" s="214">
        <v>61</v>
      </c>
      <c r="S111" s="214">
        <v>74.400000000000006</v>
      </c>
      <c r="T111" s="214">
        <v>86.51</v>
      </c>
      <c r="U111" s="217">
        <v>85.65</v>
      </c>
      <c r="V111" s="214">
        <v>75.5</v>
      </c>
      <c r="W111" s="214">
        <v>65</v>
      </c>
      <c r="X111" s="214">
        <v>65.599999999999994</v>
      </c>
      <c r="Y111" s="214">
        <v>81.03</v>
      </c>
      <c r="Z111" s="214">
        <v>87.95</v>
      </c>
      <c r="AA111" s="207" t="s">
        <v>386</v>
      </c>
      <c r="AB111" s="208" t="s">
        <v>386</v>
      </c>
      <c r="AC111" s="208" t="s">
        <v>386</v>
      </c>
      <c r="AD111" s="208" t="s">
        <v>386</v>
      </c>
      <c r="AE111" s="208" t="s">
        <v>386</v>
      </c>
      <c r="AF111" s="362" t="s">
        <v>386</v>
      </c>
      <c r="AG111" s="363" t="s">
        <v>386</v>
      </c>
      <c r="AH111" s="363" t="s">
        <v>386</v>
      </c>
      <c r="AI111" s="363" t="s">
        <v>386</v>
      </c>
      <c r="AJ111" s="364" t="s">
        <v>386</v>
      </c>
      <c r="AK111" s="208" t="s">
        <v>386</v>
      </c>
      <c r="AL111" s="208" t="s">
        <v>386</v>
      </c>
      <c r="AM111" s="208" t="s">
        <v>386</v>
      </c>
      <c r="AN111" s="208" t="s">
        <v>386</v>
      </c>
      <c r="AO111" s="208" t="s">
        <v>386</v>
      </c>
      <c r="AP111" s="213">
        <v>1912</v>
      </c>
      <c r="AQ111" s="214">
        <v>2185.46</v>
      </c>
      <c r="AR111" s="214">
        <v>2593.81</v>
      </c>
      <c r="AS111" s="214">
        <v>2553.84</v>
      </c>
      <c r="AT111" s="217">
        <v>1845.18</v>
      </c>
      <c r="AU111" s="208" t="s">
        <v>386</v>
      </c>
      <c r="AV111" s="208" t="s">
        <v>386</v>
      </c>
      <c r="AW111" s="208" t="s">
        <v>386</v>
      </c>
      <c r="AX111" s="208" t="s">
        <v>386</v>
      </c>
      <c r="AY111" s="208" t="s">
        <v>386</v>
      </c>
      <c r="AZ111" s="207" t="s">
        <v>386</v>
      </c>
      <c r="BA111" s="208" t="s">
        <v>386</v>
      </c>
      <c r="BB111" s="208" t="s">
        <v>386</v>
      </c>
      <c r="BC111" s="208" t="s">
        <v>386</v>
      </c>
      <c r="BD111" s="209" t="s">
        <v>386</v>
      </c>
      <c r="BE111" s="208" t="s">
        <v>386</v>
      </c>
      <c r="BF111" s="208" t="s">
        <v>386</v>
      </c>
      <c r="BG111" s="208" t="s">
        <v>386</v>
      </c>
      <c r="BH111" s="208" t="s">
        <v>386</v>
      </c>
      <c r="BI111" s="208" t="s">
        <v>386</v>
      </c>
      <c r="BJ111" s="207" t="s">
        <v>386</v>
      </c>
      <c r="BK111" s="208" t="s">
        <v>386</v>
      </c>
      <c r="BL111" s="208" t="s">
        <v>386</v>
      </c>
      <c r="BM111" s="208" t="s">
        <v>386</v>
      </c>
      <c r="BN111" s="209" t="s">
        <v>386</v>
      </c>
      <c r="BO111" s="208" t="s">
        <v>386</v>
      </c>
      <c r="BP111" s="208" t="s">
        <v>386</v>
      </c>
      <c r="BQ111" s="208" t="s">
        <v>386</v>
      </c>
      <c r="BR111" s="208" t="s">
        <v>386</v>
      </c>
      <c r="BS111" s="209" t="s">
        <v>386</v>
      </c>
      <c r="BT111" s="208" t="s">
        <v>386</v>
      </c>
      <c r="BU111" s="208" t="s">
        <v>386</v>
      </c>
      <c r="BV111" s="208" t="s">
        <v>386</v>
      </c>
      <c r="BW111" s="208" t="s">
        <v>386</v>
      </c>
      <c r="BX111" s="209" t="s">
        <v>386</v>
      </c>
      <c r="BY111" s="208" t="s">
        <v>386</v>
      </c>
      <c r="BZ111" s="208" t="s">
        <v>386</v>
      </c>
      <c r="CA111" s="208" t="s">
        <v>386</v>
      </c>
      <c r="CB111" s="208" t="s">
        <v>386</v>
      </c>
      <c r="CC111" s="208" t="s">
        <v>386</v>
      </c>
      <c r="CD111" s="207" t="s">
        <v>386</v>
      </c>
      <c r="CE111" s="208" t="s">
        <v>386</v>
      </c>
      <c r="CF111" s="208" t="s">
        <v>386</v>
      </c>
      <c r="CG111" s="208" t="s">
        <v>386</v>
      </c>
      <c r="CH111" s="209" t="s">
        <v>386</v>
      </c>
    </row>
    <row r="112" spans="1:86" x14ac:dyDescent="0.25">
      <c r="A112" s="107" t="s">
        <v>139</v>
      </c>
      <c r="B112" s="213">
        <v>44.2</v>
      </c>
      <c r="C112" s="214">
        <v>47.1</v>
      </c>
      <c r="D112" s="214">
        <v>58.4</v>
      </c>
      <c r="E112" s="214">
        <v>68.56</v>
      </c>
      <c r="F112" s="214">
        <v>33.6</v>
      </c>
      <c r="G112" s="213">
        <v>63.17</v>
      </c>
      <c r="H112" s="214">
        <v>66.850000000000009</v>
      </c>
      <c r="I112" s="214">
        <v>63.05</v>
      </c>
      <c r="J112" s="214">
        <v>51.12</v>
      </c>
      <c r="K112" s="217">
        <v>58.67</v>
      </c>
      <c r="L112" s="214">
        <v>221.20999999999998</v>
      </c>
      <c r="M112" s="214">
        <v>227.26</v>
      </c>
      <c r="N112" s="214">
        <v>222.26999999999998</v>
      </c>
      <c r="O112" s="214">
        <v>181.14</v>
      </c>
      <c r="P112" s="214">
        <v>221.75</v>
      </c>
      <c r="Q112" s="213">
        <v>55</v>
      </c>
      <c r="R112" s="214">
        <v>61</v>
      </c>
      <c r="S112" s="214">
        <v>73.2</v>
      </c>
      <c r="T112" s="214">
        <v>86.51</v>
      </c>
      <c r="U112" s="217">
        <v>85.65</v>
      </c>
      <c r="V112" s="214">
        <v>84.8</v>
      </c>
      <c r="W112" s="214">
        <v>71.25</v>
      </c>
      <c r="X112" s="214">
        <v>78.2</v>
      </c>
      <c r="Y112" s="214">
        <v>78.23</v>
      </c>
      <c r="Z112" s="214">
        <v>90.33</v>
      </c>
      <c r="AA112" s="207" t="s">
        <v>386</v>
      </c>
      <c r="AB112" s="208" t="s">
        <v>386</v>
      </c>
      <c r="AC112" s="208" t="s">
        <v>386</v>
      </c>
      <c r="AD112" s="208" t="s">
        <v>386</v>
      </c>
      <c r="AE112" s="208" t="s">
        <v>386</v>
      </c>
      <c r="AF112" s="362" t="s">
        <v>386</v>
      </c>
      <c r="AG112" s="363" t="s">
        <v>386</v>
      </c>
      <c r="AH112" s="363" t="s">
        <v>386</v>
      </c>
      <c r="AI112" s="363" t="s">
        <v>386</v>
      </c>
      <c r="AJ112" s="364" t="s">
        <v>386</v>
      </c>
      <c r="AK112" s="208" t="s">
        <v>386</v>
      </c>
      <c r="AL112" s="208" t="s">
        <v>386</v>
      </c>
      <c r="AM112" s="208" t="s">
        <v>386</v>
      </c>
      <c r="AN112" s="208" t="s">
        <v>386</v>
      </c>
      <c r="AO112" s="208" t="s">
        <v>386</v>
      </c>
      <c r="AP112" s="207" t="s">
        <v>386</v>
      </c>
      <c r="AQ112" s="208" t="s">
        <v>386</v>
      </c>
      <c r="AR112" s="208" t="s">
        <v>386</v>
      </c>
      <c r="AS112" s="208" t="s">
        <v>386</v>
      </c>
      <c r="AT112" s="209" t="s">
        <v>386</v>
      </c>
      <c r="AU112" s="208" t="s">
        <v>386</v>
      </c>
      <c r="AV112" s="208" t="s">
        <v>386</v>
      </c>
      <c r="AW112" s="208" t="s">
        <v>386</v>
      </c>
      <c r="AX112" s="208" t="s">
        <v>386</v>
      </c>
      <c r="AY112" s="208" t="s">
        <v>386</v>
      </c>
      <c r="AZ112" s="207" t="s">
        <v>386</v>
      </c>
      <c r="BA112" s="208" t="s">
        <v>386</v>
      </c>
      <c r="BB112" s="208" t="s">
        <v>386</v>
      </c>
      <c r="BC112" s="208" t="s">
        <v>386</v>
      </c>
      <c r="BD112" s="209" t="s">
        <v>386</v>
      </c>
      <c r="BE112" s="208" t="s">
        <v>386</v>
      </c>
      <c r="BF112" s="208" t="s">
        <v>386</v>
      </c>
      <c r="BG112" s="208" t="s">
        <v>386</v>
      </c>
      <c r="BH112" s="208" t="s">
        <v>386</v>
      </c>
      <c r="BI112" s="208" t="s">
        <v>386</v>
      </c>
      <c r="BJ112" s="207" t="s">
        <v>386</v>
      </c>
      <c r="BK112" s="208" t="s">
        <v>386</v>
      </c>
      <c r="BL112" s="208" t="s">
        <v>386</v>
      </c>
      <c r="BM112" s="208" t="s">
        <v>386</v>
      </c>
      <c r="BN112" s="209" t="s">
        <v>386</v>
      </c>
      <c r="BO112" s="208" t="s">
        <v>386</v>
      </c>
      <c r="BP112" s="208" t="s">
        <v>386</v>
      </c>
      <c r="BQ112" s="208" t="s">
        <v>386</v>
      </c>
      <c r="BR112" s="208" t="s">
        <v>386</v>
      </c>
      <c r="BS112" s="209" t="s">
        <v>386</v>
      </c>
      <c r="BT112" s="208" t="s">
        <v>386</v>
      </c>
      <c r="BU112" s="208" t="s">
        <v>386</v>
      </c>
      <c r="BV112" s="208" t="s">
        <v>386</v>
      </c>
      <c r="BW112" s="208" t="s">
        <v>386</v>
      </c>
      <c r="BX112" s="209" t="s">
        <v>386</v>
      </c>
      <c r="BY112" s="208" t="s">
        <v>386</v>
      </c>
      <c r="BZ112" s="208" t="s">
        <v>386</v>
      </c>
      <c r="CA112" s="208" t="s">
        <v>386</v>
      </c>
      <c r="CB112" s="208" t="s">
        <v>386</v>
      </c>
      <c r="CC112" s="208" t="s">
        <v>386</v>
      </c>
      <c r="CD112" s="207" t="s">
        <v>386</v>
      </c>
      <c r="CE112" s="208" t="s">
        <v>386</v>
      </c>
      <c r="CF112" s="208" t="s">
        <v>386</v>
      </c>
      <c r="CG112" s="208" t="s">
        <v>386</v>
      </c>
      <c r="CH112" s="209" t="s">
        <v>386</v>
      </c>
    </row>
    <row r="113" spans="1:86" x14ac:dyDescent="0.25">
      <c r="A113" s="107" t="s">
        <v>140</v>
      </c>
      <c r="B113" s="213">
        <v>52.88</v>
      </c>
      <c r="C113" s="214">
        <v>50.35</v>
      </c>
      <c r="D113" s="214">
        <v>62.95</v>
      </c>
      <c r="E113" s="214">
        <v>71.759999999999991</v>
      </c>
      <c r="F113" s="214">
        <v>48.14</v>
      </c>
      <c r="G113" s="213">
        <v>35.15</v>
      </c>
      <c r="H113" s="214">
        <v>27.1</v>
      </c>
      <c r="I113" s="214">
        <v>36.1</v>
      </c>
      <c r="J113" s="214">
        <v>41.01</v>
      </c>
      <c r="K113" s="217">
        <v>33.53</v>
      </c>
      <c r="L113" s="214">
        <v>124.52</v>
      </c>
      <c r="M113" s="214">
        <v>109.85</v>
      </c>
      <c r="N113" s="214">
        <v>157.55000000000001</v>
      </c>
      <c r="O113" s="214">
        <v>174.88</v>
      </c>
      <c r="P113" s="214">
        <v>152.22</v>
      </c>
      <c r="Q113" s="213">
        <v>55.160000000000004</v>
      </c>
      <c r="R113" s="214">
        <v>54.9</v>
      </c>
      <c r="S113" s="214">
        <v>75.540000000000006</v>
      </c>
      <c r="T113" s="214">
        <v>89.49</v>
      </c>
      <c r="U113" s="217">
        <v>73.709999999999994</v>
      </c>
      <c r="V113" s="214">
        <v>69.709999999999994</v>
      </c>
      <c r="W113" s="214">
        <v>54.4</v>
      </c>
      <c r="X113" s="214">
        <v>103.02</v>
      </c>
      <c r="Y113" s="214">
        <v>113.32</v>
      </c>
      <c r="Z113" s="214">
        <v>81.53</v>
      </c>
      <c r="AA113" s="213">
        <v>16.3</v>
      </c>
      <c r="AB113" s="214">
        <v>18.899999999999999</v>
      </c>
      <c r="AC113" s="214">
        <v>31.94</v>
      </c>
      <c r="AD113" s="214">
        <v>20.38</v>
      </c>
      <c r="AE113" s="214">
        <v>25.02</v>
      </c>
      <c r="AF113" s="229">
        <v>71</v>
      </c>
      <c r="AG113" s="220">
        <v>94</v>
      </c>
      <c r="AH113" s="220">
        <v>81.83</v>
      </c>
      <c r="AI113" s="220">
        <v>88.21</v>
      </c>
      <c r="AJ113" s="224">
        <v>79.52</v>
      </c>
      <c r="AK113" s="214">
        <v>1474.26</v>
      </c>
      <c r="AL113" s="214">
        <v>1446.1499999999999</v>
      </c>
      <c r="AM113" s="214">
        <v>2151.8200000000002</v>
      </c>
      <c r="AN113" s="214">
        <v>2578.87</v>
      </c>
      <c r="AO113" s="214">
        <v>1265.82</v>
      </c>
      <c r="AP113" s="213">
        <v>1874.61</v>
      </c>
      <c r="AQ113" s="214">
        <v>2488.8100000000004</v>
      </c>
      <c r="AR113" s="214">
        <v>2684.7</v>
      </c>
      <c r="AS113" s="214">
        <v>2778.91</v>
      </c>
      <c r="AT113" s="217">
        <v>2093.1099999999997</v>
      </c>
      <c r="AU113" s="208" t="s">
        <v>386</v>
      </c>
      <c r="AV113" s="208" t="s">
        <v>386</v>
      </c>
      <c r="AW113" s="208" t="s">
        <v>386</v>
      </c>
      <c r="AX113" s="208" t="s">
        <v>386</v>
      </c>
      <c r="AY113" s="208" t="s">
        <v>386</v>
      </c>
      <c r="AZ113" s="207" t="s">
        <v>386</v>
      </c>
      <c r="BA113" s="208" t="s">
        <v>386</v>
      </c>
      <c r="BB113" s="208" t="s">
        <v>386</v>
      </c>
      <c r="BC113" s="208" t="s">
        <v>386</v>
      </c>
      <c r="BD113" s="209" t="s">
        <v>386</v>
      </c>
      <c r="BE113" s="208" t="s">
        <v>386</v>
      </c>
      <c r="BF113" s="208" t="s">
        <v>386</v>
      </c>
      <c r="BG113" s="208" t="s">
        <v>386</v>
      </c>
      <c r="BH113" s="208" t="s">
        <v>386</v>
      </c>
      <c r="BI113" s="208" t="s">
        <v>386</v>
      </c>
      <c r="BJ113" s="207" t="s">
        <v>386</v>
      </c>
      <c r="BK113" s="208" t="s">
        <v>386</v>
      </c>
      <c r="BL113" s="208" t="s">
        <v>386</v>
      </c>
      <c r="BM113" s="208" t="s">
        <v>386</v>
      </c>
      <c r="BN113" s="209" t="s">
        <v>386</v>
      </c>
      <c r="BO113" s="208" t="s">
        <v>386</v>
      </c>
      <c r="BP113" s="208" t="s">
        <v>386</v>
      </c>
      <c r="BQ113" s="208" t="s">
        <v>386</v>
      </c>
      <c r="BR113" s="208" t="s">
        <v>386</v>
      </c>
      <c r="BS113" s="209" t="s">
        <v>386</v>
      </c>
      <c r="BT113" s="208" t="s">
        <v>386</v>
      </c>
      <c r="BU113" s="208" t="s">
        <v>386</v>
      </c>
      <c r="BV113" s="208" t="s">
        <v>386</v>
      </c>
      <c r="BW113" s="208" t="s">
        <v>386</v>
      </c>
      <c r="BX113" s="209" t="s">
        <v>386</v>
      </c>
      <c r="BY113" s="208" t="s">
        <v>386</v>
      </c>
      <c r="BZ113" s="208" t="s">
        <v>386</v>
      </c>
      <c r="CA113" s="208" t="s">
        <v>386</v>
      </c>
      <c r="CB113" s="208" t="s">
        <v>386</v>
      </c>
      <c r="CC113" s="208" t="s">
        <v>386</v>
      </c>
      <c r="CD113" s="207" t="s">
        <v>386</v>
      </c>
      <c r="CE113" s="208" t="s">
        <v>386</v>
      </c>
      <c r="CF113" s="208" t="s">
        <v>386</v>
      </c>
      <c r="CG113" s="208" t="s">
        <v>386</v>
      </c>
      <c r="CH113" s="209" t="s">
        <v>386</v>
      </c>
    </row>
    <row r="114" spans="1:86" x14ac:dyDescent="0.25">
      <c r="A114" s="107" t="s">
        <v>141</v>
      </c>
      <c r="B114" s="213">
        <v>29.21</v>
      </c>
      <c r="C114" s="214">
        <v>47.1</v>
      </c>
      <c r="D114" s="214">
        <v>52.1</v>
      </c>
      <c r="E114" s="214">
        <v>68.56</v>
      </c>
      <c r="F114" s="214">
        <v>38.799999999999997</v>
      </c>
      <c r="G114" s="213">
        <v>45.6</v>
      </c>
      <c r="H114" s="214">
        <v>42.379999999999995</v>
      </c>
      <c r="I114" s="214">
        <v>40.400000000000006</v>
      </c>
      <c r="J114" s="214">
        <v>36.57</v>
      </c>
      <c r="K114" s="217">
        <v>34.14</v>
      </c>
      <c r="L114" s="214">
        <v>188.45000000000002</v>
      </c>
      <c r="M114" s="214">
        <v>146.34</v>
      </c>
      <c r="N114" s="214">
        <v>164.1</v>
      </c>
      <c r="O114" s="214">
        <v>151.45999999999998</v>
      </c>
      <c r="P114" s="214">
        <v>161.97</v>
      </c>
      <c r="Q114" s="213">
        <v>49.1</v>
      </c>
      <c r="R114" s="214">
        <v>61</v>
      </c>
      <c r="S114" s="214">
        <v>65.599999999999994</v>
      </c>
      <c r="T114" s="214">
        <v>86.51</v>
      </c>
      <c r="U114" s="217">
        <v>85.65</v>
      </c>
      <c r="V114" s="214">
        <v>41.2</v>
      </c>
      <c r="W114" s="214">
        <v>41.6</v>
      </c>
      <c r="X114" s="214">
        <v>48</v>
      </c>
      <c r="Y114" s="214">
        <v>41.6</v>
      </c>
      <c r="Z114" s="214">
        <v>60.44</v>
      </c>
      <c r="AA114" s="207" t="s">
        <v>386</v>
      </c>
      <c r="AB114" s="208" t="s">
        <v>386</v>
      </c>
      <c r="AC114" s="208" t="s">
        <v>386</v>
      </c>
      <c r="AD114" s="208" t="s">
        <v>386</v>
      </c>
      <c r="AE114" s="208" t="s">
        <v>386</v>
      </c>
      <c r="AF114" s="229">
        <v>71</v>
      </c>
      <c r="AG114" s="220">
        <v>94</v>
      </c>
      <c r="AH114" s="220">
        <v>81.83</v>
      </c>
      <c r="AI114" s="220">
        <v>88.21</v>
      </c>
      <c r="AJ114" s="224">
        <v>79.52</v>
      </c>
      <c r="AK114" s="208" t="s">
        <v>386</v>
      </c>
      <c r="AL114" s="208" t="s">
        <v>386</v>
      </c>
      <c r="AM114" s="208" t="s">
        <v>386</v>
      </c>
      <c r="AN114" s="208" t="s">
        <v>386</v>
      </c>
      <c r="AO114" s="208" t="s">
        <v>386</v>
      </c>
      <c r="AP114" s="207" t="s">
        <v>386</v>
      </c>
      <c r="AQ114" s="208" t="s">
        <v>386</v>
      </c>
      <c r="AR114" s="208" t="s">
        <v>386</v>
      </c>
      <c r="AS114" s="208" t="s">
        <v>386</v>
      </c>
      <c r="AT114" s="209" t="s">
        <v>386</v>
      </c>
      <c r="AU114" s="208" t="s">
        <v>386</v>
      </c>
      <c r="AV114" s="208" t="s">
        <v>386</v>
      </c>
      <c r="AW114" s="208" t="s">
        <v>386</v>
      </c>
      <c r="AX114" s="208" t="s">
        <v>386</v>
      </c>
      <c r="AY114" s="208" t="s">
        <v>386</v>
      </c>
      <c r="AZ114" s="207" t="s">
        <v>386</v>
      </c>
      <c r="BA114" s="208" t="s">
        <v>386</v>
      </c>
      <c r="BB114" s="208" t="s">
        <v>386</v>
      </c>
      <c r="BC114" s="208" t="s">
        <v>386</v>
      </c>
      <c r="BD114" s="209" t="s">
        <v>386</v>
      </c>
      <c r="BE114" s="208" t="s">
        <v>386</v>
      </c>
      <c r="BF114" s="208" t="s">
        <v>386</v>
      </c>
      <c r="BG114" s="208" t="s">
        <v>386</v>
      </c>
      <c r="BH114" s="208" t="s">
        <v>386</v>
      </c>
      <c r="BI114" s="208" t="s">
        <v>386</v>
      </c>
      <c r="BJ114" s="207" t="s">
        <v>386</v>
      </c>
      <c r="BK114" s="208" t="s">
        <v>386</v>
      </c>
      <c r="BL114" s="208" t="s">
        <v>386</v>
      </c>
      <c r="BM114" s="208" t="s">
        <v>386</v>
      </c>
      <c r="BN114" s="209" t="s">
        <v>386</v>
      </c>
      <c r="BO114" s="208" t="s">
        <v>386</v>
      </c>
      <c r="BP114" s="208" t="s">
        <v>386</v>
      </c>
      <c r="BQ114" s="208" t="s">
        <v>386</v>
      </c>
      <c r="BR114" s="208" t="s">
        <v>386</v>
      </c>
      <c r="BS114" s="209" t="s">
        <v>386</v>
      </c>
      <c r="BT114" s="208" t="s">
        <v>386</v>
      </c>
      <c r="BU114" s="208" t="s">
        <v>386</v>
      </c>
      <c r="BV114" s="208" t="s">
        <v>386</v>
      </c>
      <c r="BW114" s="208" t="s">
        <v>386</v>
      </c>
      <c r="BX114" s="209" t="s">
        <v>386</v>
      </c>
      <c r="BY114" s="208" t="s">
        <v>386</v>
      </c>
      <c r="BZ114" s="208" t="s">
        <v>386</v>
      </c>
      <c r="CA114" s="208" t="s">
        <v>386</v>
      </c>
      <c r="CB114" s="208" t="s">
        <v>386</v>
      </c>
      <c r="CC114" s="208" t="s">
        <v>386</v>
      </c>
      <c r="CD114" s="207" t="s">
        <v>386</v>
      </c>
      <c r="CE114" s="208" t="s">
        <v>386</v>
      </c>
      <c r="CF114" s="208" t="s">
        <v>386</v>
      </c>
      <c r="CG114" s="208" t="s">
        <v>386</v>
      </c>
      <c r="CH114" s="209" t="s">
        <v>386</v>
      </c>
    </row>
    <row r="115" spans="1:86" x14ac:dyDescent="0.25">
      <c r="A115" s="107" t="s">
        <v>142</v>
      </c>
      <c r="B115" s="213">
        <v>60.370000000000005</v>
      </c>
      <c r="C115" s="214">
        <v>49.95</v>
      </c>
      <c r="D115" s="214">
        <v>56.04</v>
      </c>
      <c r="E115" s="214">
        <v>55.99</v>
      </c>
      <c r="F115" s="214">
        <v>46.74</v>
      </c>
      <c r="G115" s="213">
        <v>56.29</v>
      </c>
      <c r="H115" s="214">
        <v>54.440000000000005</v>
      </c>
      <c r="I115" s="214">
        <v>45.74</v>
      </c>
      <c r="J115" s="214">
        <v>45.06</v>
      </c>
      <c r="K115" s="217">
        <v>47.72</v>
      </c>
      <c r="L115" s="214">
        <v>205.5</v>
      </c>
      <c r="M115" s="214">
        <v>196.35999999999999</v>
      </c>
      <c r="N115" s="214">
        <v>173.36</v>
      </c>
      <c r="O115" s="214">
        <v>158.45999999999998</v>
      </c>
      <c r="P115" s="214">
        <v>190.52</v>
      </c>
      <c r="Q115" s="213">
        <v>55</v>
      </c>
      <c r="R115" s="214">
        <v>61</v>
      </c>
      <c r="S115" s="214">
        <v>73.2</v>
      </c>
      <c r="T115" s="214">
        <v>86.51</v>
      </c>
      <c r="U115" s="217">
        <v>85.65</v>
      </c>
      <c r="V115" s="214">
        <v>87.57</v>
      </c>
      <c r="W115" s="214">
        <v>87.57</v>
      </c>
      <c r="X115" s="214">
        <v>97.39</v>
      </c>
      <c r="Y115" s="214">
        <v>92.94</v>
      </c>
      <c r="Z115" s="214">
        <v>91.65</v>
      </c>
      <c r="AA115" s="207" t="s">
        <v>386</v>
      </c>
      <c r="AB115" s="208" t="s">
        <v>386</v>
      </c>
      <c r="AC115" s="208" t="s">
        <v>386</v>
      </c>
      <c r="AD115" s="208" t="s">
        <v>386</v>
      </c>
      <c r="AE115" s="208" t="s">
        <v>386</v>
      </c>
      <c r="AF115" s="229">
        <v>71</v>
      </c>
      <c r="AG115" s="220">
        <v>94</v>
      </c>
      <c r="AH115" s="220">
        <v>81.83</v>
      </c>
      <c r="AI115" s="220">
        <v>88.21</v>
      </c>
      <c r="AJ115" s="224">
        <v>79.52</v>
      </c>
      <c r="AK115" s="208" t="s">
        <v>386</v>
      </c>
      <c r="AL115" s="208" t="s">
        <v>386</v>
      </c>
      <c r="AM115" s="208" t="s">
        <v>386</v>
      </c>
      <c r="AN115" s="208" t="s">
        <v>386</v>
      </c>
      <c r="AO115" s="208" t="s">
        <v>386</v>
      </c>
      <c r="AP115" s="207" t="s">
        <v>386</v>
      </c>
      <c r="AQ115" s="208" t="s">
        <v>386</v>
      </c>
      <c r="AR115" s="208" t="s">
        <v>386</v>
      </c>
      <c r="AS115" s="208" t="s">
        <v>386</v>
      </c>
      <c r="AT115" s="209" t="s">
        <v>386</v>
      </c>
      <c r="AU115" s="208" t="s">
        <v>386</v>
      </c>
      <c r="AV115" s="208" t="s">
        <v>386</v>
      </c>
      <c r="AW115" s="208" t="s">
        <v>386</v>
      </c>
      <c r="AX115" s="208" t="s">
        <v>386</v>
      </c>
      <c r="AY115" s="208" t="s">
        <v>386</v>
      </c>
      <c r="AZ115" s="207" t="s">
        <v>386</v>
      </c>
      <c r="BA115" s="208" t="s">
        <v>386</v>
      </c>
      <c r="BB115" s="208" t="s">
        <v>386</v>
      </c>
      <c r="BC115" s="208" t="s">
        <v>386</v>
      </c>
      <c r="BD115" s="209" t="s">
        <v>386</v>
      </c>
      <c r="BE115" s="208" t="s">
        <v>386</v>
      </c>
      <c r="BF115" s="208" t="s">
        <v>386</v>
      </c>
      <c r="BG115" s="208" t="s">
        <v>386</v>
      </c>
      <c r="BH115" s="208" t="s">
        <v>386</v>
      </c>
      <c r="BI115" s="208" t="s">
        <v>386</v>
      </c>
      <c r="BJ115" s="207" t="s">
        <v>386</v>
      </c>
      <c r="BK115" s="208" t="s">
        <v>386</v>
      </c>
      <c r="BL115" s="208" t="s">
        <v>386</v>
      </c>
      <c r="BM115" s="208" t="s">
        <v>386</v>
      </c>
      <c r="BN115" s="209" t="s">
        <v>386</v>
      </c>
      <c r="BO115" s="208" t="s">
        <v>386</v>
      </c>
      <c r="BP115" s="208" t="s">
        <v>386</v>
      </c>
      <c r="BQ115" s="208" t="s">
        <v>386</v>
      </c>
      <c r="BR115" s="208" t="s">
        <v>386</v>
      </c>
      <c r="BS115" s="209" t="s">
        <v>386</v>
      </c>
      <c r="BT115" s="208" t="s">
        <v>386</v>
      </c>
      <c r="BU115" s="208" t="s">
        <v>386</v>
      </c>
      <c r="BV115" s="208" t="s">
        <v>386</v>
      </c>
      <c r="BW115" s="208" t="s">
        <v>386</v>
      </c>
      <c r="BX115" s="209" t="s">
        <v>386</v>
      </c>
      <c r="BY115" s="208" t="s">
        <v>386</v>
      </c>
      <c r="BZ115" s="208" t="s">
        <v>386</v>
      </c>
      <c r="CA115" s="208" t="s">
        <v>386</v>
      </c>
      <c r="CB115" s="208" t="s">
        <v>386</v>
      </c>
      <c r="CC115" s="208" t="s">
        <v>386</v>
      </c>
      <c r="CD115" s="207" t="s">
        <v>386</v>
      </c>
      <c r="CE115" s="208" t="s">
        <v>386</v>
      </c>
      <c r="CF115" s="208" t="s">
        <v>386</v>
      </c>
      <c r="CG115" s="208" t="s">
        <v>386</v>
      </c>
      <c r="CH115" s="209" t="s">
        <v>386</v>
      </c>
    </row>
    <row r="116" spans="1:86" x14ac:dyDescent="0.25">
      <c r="A116" s="107" t="s">
        <v>143</v>
      </c>
      <c r="B116" s="213">
        <v>43.2</v>
      </c>
      <c r="C116" s="214">
        <v>42.55</v>
      </c>
      <c r="D116" s="214">
        <v>46.55</v>
      </c>
      <c r="E116" s="214">
        <v>51.83</v>
      </c>
      <c r="F116" s="214">
        <v>47.74</v>
      </c>
      <c r="G116" s="213">
        <v>48.94</v>
      </c>
      <c r="H116" s="214">
        <v>38.949999999999996</v>
      </c>
      <c r="I116" s="214">
        <v>44.07</v>
      </c>
      <c r="J116" s="214">
        <v>50.36</v>
      </c>
      <c r="K116" s="217">
        <v>46.05</v>
      </c>
      <c r="L116" s="214">
        <v>201.76999999999998</v>
      </c>
      <c r="M116" s="214">
        <v>147.30000000000001</v>
      </c>
      <c r="N116" s="214">
        <v>190.2</v>
      </c>
      <c r="O116" s="214">
        <v>199.95000000000002</v>
      </c>
      <c r="P116" s="214">
        <v>176.25</v>
      </c>
      <c r="Q116" s="213">
        <v>72.099999999999994</v>
      </c>
      <c r="R116" s="214">
        <v>61</v>
      </c>
      <c r="S116" s="214">
        <v>60.7</v>
      </c>
      <c r="T116" s="214">
        <v>86.51</v>
      </c>
      <c r="U116" s="217">
        <v>61</v>
      </c>
      <c r="V116" s="214">
        <v>45.6</v>
      </c>
      <c r="W116" s="214">
        <v>49.6</v>
      </c>
      <c r="X116" s="214">
        <v>61.9</v>
      </c>
      <c r="Y116" s="214">
        <v>52.8</v>
      </c>
      <c r="Z116" s="214">
        <v>67.94</v>
      </c>
      <c r="AA116" s="207" t="s">
        <v>386</v>
      </c>
      <c r="AB116" s="208" t="s">
        <v>386</v>
      </c>
      <c r="AC116" s="208" t="s">
        <v>386</v>
      </c>
      <c r="AD116" s="208" t="s">
        <v>386</v>
      </c>
      <c r="AE116" s="208" t="s">
        <v>386</v>
      </c>
      <c r="AF116" s="229">
        <v>71</v>
      </c>
      <c r="AG116" s="220">
        <v>94</v>
      </c>
      <c r="AH116" s="220">
        <v>81.83</v>
      </c>
      <c r="AI116" s="220">
        <v>88.21</v>
      </c>
      <c r="AJ116" s="224">
        <v>79.52</v>
      </c>
      <c r="AK116" s="214">
        <v>1411</v>
      </c>
      <c r="AL116" s="214">
        <v>1285</v>
      </c>
      <c r="AM116" s="214">
        <v>2389</v>
      </c>
      <c r="AN116" s="214">
        <v>2614.17</v>
      </c>
      <c r="AO116" s="214">
        <v>1573.15</v>
      </c>
      <c r="AP116" s="207" t="s">
        <v>386</v>
      </c>
      <c r="AQ116" s="208" t="s">
        <v>386</v>
      </c>
      <c r="AR116" s="208" t="s">
        <v>386</v>
      </c>
      <c r="AS116" s="208" t="s">
        <v>386</v>
      </c>
      <c r="AT116" s="209" t="s">
        <v>386</v>
      </c>
      <c r="AU116" s="208" t="s">
        <v>386</v>
      </c>
      <c r="AV116" s="208" t="s">
        <v>386</v>
      </c>
      <c r="AW116" s="208" t="s">
        <v>386</v>
      </c>
      <c r="AX116" s="208" t="s">
        <v>386</v>
      </c>
      <c r="AY116" s="208" t="s">
        <v>386</v>
      </c>
      <c r="AZ116" s="207" t="s">
        <v>386</v>
      </c>
      <c r="BA116" s="208" t="s">
        <v>386</v>
      </c>
      <c r="BB116" s="208" t="s">
        <v>386</v>
      </c>
      <c r="BC116" s="208" t="s">
        <v>386</v>
      </c>
      <c r="BD116" s="209" t="s">
        <v>386</v>
      </c>
      <c r="BE116" s="208" t="s">
        <v>386</v>
      </c>
      <c r="BF116" s="208" t="s">
        <v>386</v>
      </c>
      <c r="BG116" s="208" t="s">
        <v>386</v>
      </c>
      <c r="BH116" s="208" t="s">
        <v>386</v>
      </c>
      <c r="BI116" s="208" t="s">
        <v>386</v>
      </c>
      <c r="BJ116" s="207" t="s">
        <v>386</v>
      </c>
      <c r="BK116" s="208" t="s">
        <v>386</v>
      </c>
      <c r="BL116" s="208" t="s">
        <v>386</v>
      </c>
      <c r="BM116" s="208" t="s">
        <v>386</v>
      </c>
      <c r="BN116" s="209" t="s">
        <v>386</v>
      </c>
      <c r="BO116" s="208" t="s">
        <v>386</v>
      </c>
      <c r="BP116" s="208" t="s">
        <v>386</v>
      </c>
      <c r="BQ116" s="208" t="s">
        <v>386</v>
      </c>
      <c r="BR116" s="208" t="s">
        <v>386</v>
      </c>
      <c r="BS116" s="209" t="s">
        <v>386</v>
      </c>
      <c r="BT116" s="208" t="s">
        <v>386</v>
      </c>
      <c r="BU116" s="208" t="s">
        <v>386</v>
      </c>
      <c r="BV116" s="208" t="s">
        <v>386</v>
      </c>
      <c r="BW116" s="208" t="s">
        <v>386</v>
      </c>
      <c r="BX116" s="209" t="s">
        <v>386</v>
      </c>
      <c r="BY116" s="208" t="s">
        <v>386</v>
      </c>
      <c r="BZ116" s="208" t="s">
        <v>386</v>
      </c>
      <c r="CA116" s="208" t="s">
        <v>386</v>
      </c>
      <c r="CB116" s="208" t="s">
        <v>386</v>
      </c>
      <c r="CC116" s="208" t="s">
        <v>386</v>
      </c>
      <c r="CD116" s="207" t="s">
        <v>386</v>
      </c>
      <c r="CE116" s="208" t="s">
        <v>386</v>
      </c>
      <c r="CF116" s="208" t="s">
        <v>386</v>
      </c>
      <c r="CG116" s="208" t="s">
        <v>386</v>
      </c>
      <c r="CH116" s="209" t="s">
        <v>386</v>
      </c>
    </row>
    <row r="117" spans="1:86" x14ac:dyDescent="0.25">
      <c r="A117" s="107" t="s">
        <v>144</v>
      </c>
      <c r="B117" s="213">
        <v>62.69</v>
      </c>
      <c r="C117" s="214">
        <v>52.1</v>
      </c>
      <c r="D117" s="214">
        <v>66.53</v>
      </c>
      <c r="E117" s="214">
        <v>70.489999999999995</v>
      </c>
      <c r="F117" s="214">
        <v>58.84</v>
      </c>
      <c r="G117" s="213">
        <v>41.73</v>
      </c>
      <c r="H117" s="214">
        <v>30.650000000000002</v>
      </c>
      <c r="I117" s="214">
        <v>37.76</v>
      </c>
      <c r="J117" s="214">
        <v>41.23</v>
      </c>
      <c r="K117" s="217">
        <v>38.18</v>
      </c>
      <c r="L117" s="214" t="s">
        <v>386</v>
      </c>
      <c r="M117" s="214" t="s">
        <v>386</v>
      </c>
      <c r="N117" s="214" t="s">
        <v>386</v>
      </c>
      <c r="O117" s="214" t="s">
        <v>386</v>
      </c>
      <c r="P117" s="214" t="s">
        <v>386</v>
      </c>
      <c r="Q117" s="213">
        <v>76.2</v>
      </c>
      <c r="R117" s="214">
        <v>61</v>
      </c>
      <c r="S117" s="214">
        <v>72.3</v>
      </c>
      <c r="T117" s="214">
        <v>86.51</v>
      </c>
      <c r="U117" s="217">
        <v>91.42</v>
      </c>
      <c r="V117" s="214">
        <v>84.96</v>
      </c>
      <c r="W117" s="214">
        <v>92.59</v>
      </c>
      <c r="X117" s="214">
        <v>105.01</v>
      </c>
      <c r="Y117" s="214">
        <v>140.58000000000001</v>
      </c>
      <c r="Z117" s="214">
        <v>114.82</v>
      </c>
      <c r="AA117" s="213">
        <v>16.3</v>
      </c>
      <c r="AB117" s="214">
        <v>18.899999999999999</v>
      </c>
      <c r="AC117" s="214">
        <v>31.94</v>
      </c>
      <c r="AD117" s="214">
        <v>20.38</v>
      </c>
      <c r="AE117" s="214">
        <v>25.02</v>
      </c>
      <c r="AF117" s="362" t="s">
        <v>386</v>
      </c>
      <c r="AG117" s="363" t="s">
        <v>386</v>
      </c>
      <c r="AH117" s="363" t="s">
        <v>386</v>
      </c>
      <c r="AI117" s="363" t="s">
        <v>386</v>
      </c>
      <c r="AJ117" s="364" t="s">
        <v>386</v>
      </c>
      <c r="AK117" s="214">
        <v>1411</v>
      </c>
      <c r="AL117" s="214">
        <v>1285</v>
      </c>
      <c r="AM117" s="214">
        <v>2075</v>
      </c>
      <c r="AN117" s="214">
        <v>2702.48</v>
      </c>
      <c r="AO117" s="214">
        <v>1973.8</v>
      </c>
      <c r="AP117" s="213">
        <v>2174.39</v>
      </c>
      <c r="AQ117" s="214">
        <v>1651.54</v>
      </c>
      <c r="AR117" s="214">
        <v>2541.11</v>
      </c>
      <c r="AS117" s="214">
        <v>2453.62</v>
      </c>
      <c r="AT117" s="217">
        <v>1530.32</v>
      </c>
      <c r="AU117" s="214">
        <v>2398</v>
      </c>
      <c r="AV117" s="214">
        <v>1520</v>
      </c>
      <c r="AW117" s="214">
        <v>2058.5</v>
      </c>
      <c r="AX117" s="214">
        <v>2300</v>
      </c>
      <c r="AY117" s="214">
        <v>2431</v>
      </c>
      <c r="AZ117" s="207" t="s">
        <v>386</v>
      </c>
      <c r="BA117" s="208" t="s">
        <v>386</v>
      </c>
      <c r="BB117" s="208" t="s">
        <v>386</v>
      </c>
      <c r="BC117" s="208" t="s">
        <v>386</v>
      </c>
      <c r="BD117" s="209" t="s">
        <v>386</v>
      </c>
      <c r="BE117" s="208" t="s">
        <v>386</v>
      </c>
      <c r="BF117" s="208" t="s">
        <v>386</v>
      </c>
      <c r="BG117" s="208" t="s">
        <v>386</v>
      </c>
      <c r="BH117" s="208" t="s">
        <v>386</v>
      </c>
      <c r="BI117" s="208" t="s">
        <v>386</v>
      </c>
      <c r="BJ117" s="207" t="s">
        <v>386</v>
      </c>
      <c r="BK117" s="208" t="s">
        <v>386</v>
      </c>
      <c r="BL117" s="208" t="s">
        <v>386</v>
      </c>
      <c r="BM117" s="208" t="s">
        <v>386</v>
      </c>
      <c r="BN117" s="209" t="s">
        <v>386</v>
      </c>
      <c r="BO117" s="208" t="s">
        <v>386</v>
      </c>
      <c r="BP117" s="208" t="s">
        <v>386</v>
      </c>
      <c r="BQ117" s="208" t="s">
        <v>386</v>
      </c>
      <c r="BR117" s="208" t="s">
        <v>386</v>
      </c>
      <c r="BS117" s="209" t="s">
        <v>386</v>
      </c>
      <c r="BT117" s="208" t="s">
        <v>386</v>
      </c>
      <c r="BU117" s="208" t="s">
        <v>386</v>
      </c>
      <c r="BV117" s="208" t="s">
        <v>386</v>
      </c>
      <c r="BW117" s="208" t="s">
        <v>386</v>
      </c>
      <c r="BX117" s="209" t="s">
        <v>386</v>
      </c>
      <c r="BY117" s="208" t="s">
        <v>386</v>
      </c>
      <c r="BZ117" s="208" t="s">
        <v>386</v>
      </c>
      <c r="CA117" s="208" t="s">
        <v>386</v>
      </c>
      <c r="CB117" s="208" t="s">
        <v>386</v>
      </c>
      <c r="CC117" s="208" t="s">
        <v>386</v>
      </c>
      <c r="CD117" s="207" t="s">
        <v>386</v>
      </c>
      <c r="CE117" s="208" t="s">
        <v>386</v>
      </c>
      <c r="CF117" s="208" t="s">
        <v>386</v>
      </c>
      <c r="CG117" s="208" t="s">
        <v>386</v>
      </c>
      <c r="CH117" s="209" t="s">
        <v>386</v>
      </c>
    </row>
    <row r="118" spans="1:86" x14ac:dyDescent="0.25">
      <c r="A118" s="107" t="s">
        <v>145</v>
      </c>
      <c r="B118" s="213">
        <v>55.08</v>
      </c>
      <c r="C118" s="214">
        <v>63.89</v>
      </c>
      <c r="D118" s="214">
        <v>57.06</v>
      </c>
      <c r="E118" s="214">
        <v>65.569999999999993</v>
      </c>
      <c r="F118" s="214">
        <v>41.5</v>
      </c>
      <c r="G118" s="213">
        <v>63.5</v>
      </c>
      <c r="H118" s="214">
        <v>52.46</v>
      </c>
      <c r="I118" s="214">
        <v>52.83</v>
      </c>
      <c r="J118" s="214">
        <v>51.28</v>
      </c>
      <c r="K118" s="217">
        <v>49.49</v>
      </c>
      <c r="L118" s="214">
        <v>230.29000000000002</v>
      </c>
      <c r="M118" s="214">
        <v>186.5</v>
      </c>
      <c r="N118" s="214">
        <v>203.96</v>
      </c>
      <c r="O118" s="214">
        <v>189.72</v>
      </c>
      <c r="P118" s="214">
        <v>174.09</v>
      </c>
      <c r="Q118" s="213">
        <v>55</v>
      </c>
      <c r="R118" s="214">
        <v>61</v>
      </c>
      <c r="S118" s="214">
        <v>73.2</v>
      </c>
      <c r="T118" s="214">
        <v>86.51</v>
      </c>
      <c r="U118" s="217">
        <v>85.65</v>
      </c>
      <c r="V118" s="214">
        <v>80.2</v>
      </c>
      <c r="W118" s="214">
        <v>59.2</v>
      </c>
      <c r="X118" s="214">
        <v>104.5</v>
      </c>
      <c r="Y118" s="214">
        <v>106.76</v>
      </c>
      <c r="Z118" s="214">
        <v>80.86</v>
      </c>
      <c r="AA118" s="207" t="s">
        <v>386</v>
      </c>
      <c r="AB118" s="208" t="s">
        <v>386</v>
      </c>
      <c r="AC118" s="208" t="s">
        <v>386</v>
      </c>
      <c r="AD118" s="208" t="s">
        <v>386</v>
      </c>
      <c r="AE118" s="208" t="s">
        <v>386</v>
      </c>
      <c r="AF118" s="229">
        <v>71</v>
      </c>
      <c r="AG118" s="220">
        <v>94</v>
      </c>
      <c r="AH118" s="220">
        <v>81.83</v>
      </c>
      <c r="AI118" s="220">
        <v>88.21</v>
      </c>
      <c r="AJ118" s="224">
        <v>79.52</v>
      </c>
      <c r="AK118" s="214">
        <v>1411</v>
      </c>
      <c r="AL118" s="214">
        <v>1362</v>
      </c>
      <c r="AM118" s="214">
        <v>2140</v>
      </c>
      <c r="AN118" s="214">
        <v>2614.17</v>
      </c>
      <c r="AO118" s="214">
        <v>1573.15</v>
      </c>
      <c r="AP118" s="213">
        <v>1951</v>
      </c>
      <c r="AQ118" s="214">
        <v>2185.46</v>
      </c>
      <c r="AR118" s="214">
        <v>2593.81</v>
      </c>
      <c r="AS118" s="214">
        <v>2553.84</v>
      </c>
      <c r="AT118" s="217">
        <v>1845.18</v>
      </c>
      <c r="AU118" s="208" t="s">
        <v>386</v>
      </c>
      <c r="AV118" s="208" t="s">
        <v>386</v>
      </c>
      <c r="AW118" s="208" t="s">
        <v>386</v>
      </c>
      <c r="AX118" s="208" t="s">
        <v>386</v>
      </c>
      <c r="AY118" s="208" t="s">
        <v>386</v>
      </c>
      <c r="AZ118" s="207" t="s">
        <v>386</v>
      </c>
      <c r="BA118" s="208" t="s">
        <v>386</v>
      </c>
      <c r="BB118" s="208" t="s">
        <v>386</v>
      </c>
      <c r="BC118" s="208" t="s">
        <v>386</v>
      </c>
      <c r="BD118" s="209" t="s">
        <v>386</v>
      </c>
      <c r="BE118" s="208" t="s">
        <v>386</v>
      </c>
      <c r="BF118" s="208" t="s">
        <v>386</v>
      </c>
      <c r="BG118" s="208" t="s">
        <v>386</v>
      </c>
      <c r="BH118" s="208" t="s">
        <v>386</v>
      </c>
      <c r="BI118" s="208" t="s">
        <v>386</v>
      </c>
      <c r="BJ118" s="207" t="s">
        <v>386</v>
      </c>
      <c r="BK118" s="208" t="s">
        <v>386</v>
      </c>
      <c r="BL118" s="208" t="s">
        <v>386</v>
      </c>
      <c r="BM118" s="208" t="s">
        <v>386</v>
      </c>
      <c r="BN118" s="209" t="s">
        <v>386</v>
      </c>
      <c r="BO118" s="208" t="s">
        <v>386</v>
      </c>
      <c r="BP118" s="208" t="s">
        <v>386</v>
      </c>
      <c r="BQ118" s="208" t="s">
        <v>386</v>
      </c>
      <c r="BR118" s="208" t="s">
        <v>386</v>
      </c>
      <c r="BS118" s="209" t="s">
        <v>386</v>
      </c>
      <c r="BT118" s="208" t="s">
        <v>386</v>
      </c>
      <c r="BU118" s="208" t="s">
        <v>386</v>
      </c>
      <c r="BV118" s="208" t="s">
        <v>386</v>
      </c>
      <c r="BW118" s="208" t="s">
        <v>386</v>
      </c>
      <c r="BX118" s="209" t="s">
        <v>386</v>
      </c>
      <c r="BY118" s="208" t="s">
        <v>386</v>
      </c>
      <c r="BZ118" s="208" t="s">
        <v>386</v>
      </c>
      <c r="CA118" s="208" t="s">
        <v>386</v>
      </c>
      <c r="CB118" s="208" t="s">
        <v>386</v>
      </c>
      <c r="CC118" s="208" t="s">
        <v>386</v>
      </c>
      <c r="CD118" s="207" t="s">
        <v>386</v>
      </c>
      <c r="CE118" s="208" t="s">
        <v>386</v>
      </c>
      <c r="CF118" s="208" t="s">
        <v>386</v>
      </c>
      <c r="CG118" s="208" t="s">
        <v>386</v>
      </c>
      <c r="CH118" s="209" t="s">
        <v>386</v>
      </c>
    </row>
    <row r="119" spans="1:86" x14ac:dyDescent="0.25">
      <c r="A119" s="107" t="s">
        <v>146</v>
      </c>
      <c r="B119" s="213">
        <v>49.15</v>
      </c>
      <c r="C119" s="214">
        <v>63.129999999999995</v>
      </c>
      <c r="D119" s="214">
        <v>56.309999999999995</v>
      </c>
      <c r="E119" s="214">
        <v>64.86</v>
      </c>
      <c r="F119" s="214">
        <v>46.53</v>
      </c>
      <c r="G119" s="213">
        <v>58.790000000000006</v>
      </c>
      <c r="H119" s="214">
        <v>56.849999999999994</v>
      </c>
      <c r="I119" s="214">
        <v>57.55</v>
      </c>
      <c r="J119" s="214">
        <v>55.55</v>
      </c>
      <c r="K119" s="217">
        <v>46.879999999999995</v>
      </c>
      <c r="L119" s="214">
        <v>221.59</v>
      </c>
      <c r="M119" s="214">
        <v>201.54</v>
      </c>
      <c r="N119" s="214">
        <v>214.67000000000002</v>
      </c>
      <c r="O119" s="214">
        <v>209.84</v>
      </c>
      <c r="P119" s="214">
        <v>176.82</v>
      </c>
      <c r="Q119" s="213">
        <v>64.3</v>
      </c>
      <c r="R119" s="214">
        <v>61</v>
      </c>
      <c r="S119" s="214">
        <v>60.7</v>
      </c>
      <c r="T119" s="214">
        <v>86.51</v>
      </c>
      <c r="U119" s="217">
        <v>85.65</v>
      </c>
      <c r="V119" s="214">
        <v>81.73</v>
      </c>
      <c r="W119" s="214">
        <v>50.5</v>
      </c>
      <c r="X119" s="214">
        <v>71.849999999999994</v>
      </c>
      <c r="Y119" s="214">
        <v>92.22</v>
      </c>
      <c r="Z119" s="214">
        <v>87.26</v>
      </c>
      <c r="AA119" s="207" t="s">
        <v>386</v>
      </c>
      <c r="AB119" s="208" t="s">
        <v>386</v>
      </c>
      <c r="AC119" s="208" t="s">
        <v>386</v>
      </c>
      <c r="AD119" s="208" t="s">
        <v>386</v>
      </c>
      <c r="AE119" s="208" t="s">
        <v>386</v>
      </c>
      <c r="AF119" s="229">
        <v>71</v>
      </c>
      <c r="AG119" s="220">
        <v>94</v>
      </c>
      <c r="AH119" s="220">
        <v>81.83</v>
      </c>
      <c r="AI119" s="220">
        <v>88.21</v>
      </c>
      <c r="AJ119" s="224">
        <v>79.52</v>
      </c>
      <c r="AK119" s="208" t="s">
        <v>386</v>
      </c>
      <c r="AL119" s="208" t="s">
        <v>386</v>
      </c>
      <c r="AM119" s="208" t="s">
        <v>386</v>
      </c>
      <c r="AN119" s="208" t="s">
        <v>386</v>
      </c>
      <c r="AO119" s="208" t="s">
        <v>386</v>
      </c>
      <c r="AP119" s="213">
        <v>1791</v>
      </c>
      <c r="AQ119" s="214">
        <v>2185.46</v>
      </c>
      <c r="AR119" s="214">
        <v>2593.81</v>
      </c>
      <c r="AS119" s="214">
        <v>2553.84</v>
      </c>
      <c r="AT119" s="217">
        <v>1845.18</v>
      </c>
      <c r="AU119" s="208" t="s">
        <v>386</v>
      </c>
      <c r="AV119" s="208" t="s">
        <v>386</v>
      </c>
      <c r="AW119" s="208" t="s">
        <v>386</v>
      </c>
      <c r="AX119" s="208" t="s">
        <v>386</v>
      </c>
      <c r="AY119" s="208" t="s">
        <v>386</v>
      </c>
      <c r="AZ119" s="207" t="s">
        <v>386</v>
      </c>
      <c r="BA119" s="208" t="s">
        <v>386</v>
      </c>
      <c r="BB119" s="208" t="s">
        <v>386</v>
      </c>
      <c r="BC119" s="208" t="s">
        <v>386</v>
      </c>
      <c r="BD119" s="209" t="s">
        <v>386</v>
      </c>
      <c r="BE119" s="208" t="s">
        <v>386</v>
      </c>
      <c r="BF119" s="208" t="s">
        <v>386</v>
      </c>
      <c r="BG119" s="208" t="s">
        <v>386</v>
      </c>
      <c r="BH119" s="208" t="s">
        <v>386</v>
      </c>
      <c r="BI119" s="208" t="s">
        <v>386</v>
      </c>
      <c r="BJ119" s="207" t="s">
        <v>386</v>
      </c>
      <c r="BK119" s="208" t="s">
        <v>386</v>
      </c>
      <c r="BL119" s="208" t="s">
        <v>386</v>
      </c>
      <c r="BM119" s="208" t="s">
        <v>386</v>
      </c>
      <c r="BN119" s="209" t="s">
        <v>386</v>
      </c>
      <c r="BO119" s="208" t="s">
        <v>386</v>
      </c>
      <c r="BP119" s="208" t="s">
        <v>386</v>
      </c>
      <c r="BQ119" s="208" t="s">
        <v>386</v>
      </c>
      <c r="BR119" s="208" t="s">
        <v>386</v>
      </c>
      <c r="BS119" s="209" t="s">
        <v>386</v>
      </c>
      <c r="BT119" s="208" t="s">
        <v>386</v>
      </c>
      <c r="BU119" s="208" t="s">
        <v>386</v>
      </c>
      <c r="BV119" s="208" t="s">
        <v>386</v>
      </c>
      <c r="BW119" s="208" t="s">
        <v>386</v>
      </c>
      <c r="BX119" s="209" t="s">
        <v>386</v>
      </c>
      <c r="BY119" s="208" t="s">
        <v>386</v>
      </c>
      <c r="BZ119" s="208" t="s">
        <v>386</v>
      </c>
      <c r="CA119" s="208" t="s">
        <v>386</v>
      </c>
      <c r="CB119" s="208" t="s">
        <v>386</v>
      </c>
      <c r="CC119" s="208" t="s">
        <v>386</v>
      </c>
      <c r="CD119" s="207" t="s">
        <v>386</v>
      </c>
      <c r="CE119" s="208" t="s">
        <v>386</v>
      </c>
      <c r="CF119" s="208" t="s">
        <v>386</v>
      </c>
      <c r="CG119" s="208" t="s">
        <v>386</v>
      </c>
      <c r="CH119" s="209" t="s">
        <v>386</v>
      </c>
    </row>
    <row r="120" spans="1:86" x14ac:dyDescent="0.25">
      <c r="A120" s="107" t="s">
        <v>147</v>
      </c>
      <c r="B120" s="213">
        <v>49.82</v>
      </c>
      <c r="C120" s="214">
        <v>45.82</v>
      </c>
      <c r="D120" s="214">
        <v>50.12</v>
      </c>
      <c r="E120" s="214">
        <v>40.090000000000003</v>
      </c>
      <c r="F120" s="214">
        <v>34.39</v>
      </c>
      <c r="G120" s="213">
        <v>59.919999999999995</v>
      </c>
      <c r="H120" s="214">
        <v>64.240000000000009</v>
      </c>
      <c r="I120" s="214">
        <v>59.61</v>
      </c>
      <c r="J120" s="214">
        <v>55.28</v>
      </c>
      <c r="K120" s="217">
        <v>48.61</v>
      </c>
      <c r="L120" s="214">
        <v>215.32</v>
      </c>
      <c r="M120" s="214">
        <v>220.57</v>
      </c>
      <c r="N120" s="214">
        <v>214.71</v>
      </c>
      <c r="O120" s="214">
        <v>197.77</v>
      </c>
      <c r="P120" s="214">
        <v>162.03</v>
      </c>
      <c r="Q120" s="213">
        <v>55</v>
      </c>
      <c r="R120" s="214">
        <v>61</v>
      </c>
      <c r="S120" s="214">
        <v>73.2</v>
      </c>
      <c r="T120" s="214">
        <v>86.51</v>
      </c>
      <c r="U120" s="217">
        <v>85.65</v>
      </c>
      <c r="V120" s="214">
        <v>74.53</v>
      </c>
      <c r="W120" s="214">
        <v>64.8</v>
      </c>
      <c r="X120" s="214">
        <v>66.2</v>
      </c>
      <c r="Y120" s="214">
        <v>96.35</v>
      </c>
      <c r="Z120" s="214">
        <v>82.46</v>
      </c>
      <c r="AA120" s="207" t="s">
        <v>386</v>
      </c>
      <c r="AB120" s="208" t="s">
        <v>386</v>
      </c>
      <c r="AC120" s="208" t="s">
        <v>386</v>
      </c>
      <c r="AD120" s="208" t="s">
        <v>386</v>
      </c>
      <c r="AE120" s="208" t="s">
        <v>386</v>
      </c>
      <c r="AF120" s="362" t="s">
        <v>386</v>
      </c>
      <c r="AG120" s="363" t="s">
        <v>386</v>
      </c>
      <c r="AH120" s="363" t="s">
        <v>386</v>
      </c>
      <c r="AI120" s="363" t="s">
        <v>386</v>
      </c>
      <c r="AJ120" s="364" t="s">
        <v>386</v>
      </c>
      <c r="AK120" s="208" t="s">
        <v>386</v>
      </c>
      <c r="AL120" s="208" t="s">
        <v>386</v>
      </c>
      <c r="AM120" s="208" t="s">
        <v>386</v>
      </c>
      <c r="AN120" s="208" t="s">
        <v>386</v>
      </c>
      <c r="AO120" s="208" t="s">
        <v>386</v>
      </c>
      <c r="AP120" s="207" t="s">
        <v>386</v>
      </c>
      <c r="AQ120" s="208" t="s">
        <v>386</v>
      </c>
      <c r="AR120" s="208" t="s">
        <v>386</v>
      </c>
      <c r="AS120" s="208" t="s">
        <v>386</v>
      </c>
      <c r="AT120" s="209" t="s">
        <v>386</v>
      </c>
      <c r="AU120" s="208" t="s">
        <v>386</v>
      </c>
      <c r="AV120" s="208" t="s">
        <v>386</v>
      </c>
      <c r="AW120" s="208" t="s">
        <v>386</v>
      </c>
      <c r="AX120" s="208" t="s">
        <v>386</v>
      </c>
      <c r="AY120" s="208" t="s">
        <v>386</v>
      </c>
      <c r="AZ120" s="207" t="s">
        <v>386</v>
      </c>
      <c r="BA120" s="208" t="s">
        <v>386</v>
      </c>
      <c r="BB120" s="208" t="s">
        <v>386</v>
      </c>
      <c r="BC120" s="208" t="s">
        <v>386</v>
      </c>
      <c r="BD120" s="209" t="s">
        <v>386</v>
      </c>
      <c r="BE120" s="208" t="s">
        <v>386</v>
      </c>
      <c r="BF120" s="208" t="s">
        <v>386</v>
      </c>
      <c r="BG120" s="208" t="s">
        <v>386</v>
      </c>
      <c r="BH120" s="208" t="s">
        <v>386</v>
      </c>
      <c r="BI120" s="208" t="s">
        <v>386</v>
      </c>
      <c r="BJ120" s="207" t="s">
        <v>386</v>
      </c>
      <c r="BK120" s="208" t="s">
        <v>386</v>
      </c>
      <c r="BL120" s="208" t="s">
        <v>386</v>
      </c>
      <c r="BM120" s="208" t="s">
        <v>386</v>
      </c>
      <c r="BN120" s="209" t="s">
        <v>386</v>
      </c>
      <c r="BO120" s="208" t="s">
        <v>386</v>
      </c>
      <c r="BP120" s="208" t="s">
        <v>386</v>
      </c>
      <c r="BQ120" s="208" t="s">
        <v>386</v>
      </c>
      <c r="BR120" s="208" t="s">
        <v>386</v>
      </c>
      <c r="BS120" s="209" t="s">
        <v>386</v>
      </c>
      <c r="BT120" s="208" t="s">
        <v>386</v>
      </c>
      <c r="BU120" s="208" t="s">
        <v>386</v>
      </c>
      <c r="BV120" s="208" t="s">
        <v>386</v>
      </c>
      <c r="BW120" s="208" t="s">
        <v>386</v>
      </c>
      <c r="BX120" s="209" t="s">
        <v>386</v>
      </c>
      <c r="BY120" s="208" t="s">
        <v>386</v>
      </c>
      <c r="BZ120" s="208" t="s">
        <v>386</v>
      </c>
      <c r="CA120" s="208" t="s">
        <v>386</v>
      </c>
      <c r="CB120" s="208" t="s">
        <v>386</v>
      </c>
      <c r="CC120" s="208" t="s">
        <v>386</v>
      </c>
      <c r="CD120" s="207" t="s">
        <v>386</v>
      </c>
      <c r="CE120" s="208" t="s">
        <v>386</v>
      </c>
      <c r="CF120" s="208" t="s">
        <v>386</v>
      </c>
      <c r="CG120" s="208" t="s">
        <v>386</v>
      </c>
      <c r="CH120" s="209" t="s">
        <v>386</v>
      </c>
    </row>
    <row r="121" spans="1:86" x14ac:dyDescent="0.25">
      <c r="A121" s="107" t="s">
        <v>148</v>
      </c>
      <c r="B121" s="213">
        <v>51.5</v>
      </c>
      <c r="C121" s="214">
        <v>47.1</v>
      </c>
      <c r="D121" s="214">
        <v>60.3</v>
      </c>
      <c r="E121" s="214">
        <v>61.3</v>
      </c>
      <c r="F121" s="214">
        <v>43.2</v>
      </c>
      <c r="G121" s="213">
        <v>63.03</v>
      </c>
      <c r="H121" s="214">
        <v>66.650000000000006</v>
      </c>
      <c r="I121" s="214">
        <v>62.410000000000004</v>
      </c>
      <c r="J121" s="214">
        <v>58.11</v>
      </c>
      <c r="K121" s="217">
        <v>56.8</v>
      </c>
      <c r="L121" s="214">
        <v>214.46</v>
      </c>
      <c r="M121" s="214">
        <v>223.3</v>
      </c>
      <c r="N121" s="214">
        <v>222.13</v>
      </c>
      <c r="O121" s="214">
        <v>200.11</v>
      </c>
      <c r="P121" s="214">
        <v>206.43</v>
      </c>
      <c r="Q121" s="213">
        <v>55</v>
      </c>
      <c r="R121" s="214">
        <v>61</v>
      </c>
      <c r="S121" s="214">
        <v>73.2</v>
      </c>
      <c r="T121" s="214">
        <v>86.51</v>
      </c>
      <c r="U121" s="217">
        <v>85.65</v>
      </c>
      <c r="V121" s="214">
        <v>86.76</v>
      </c>
      <c r="W121" s="214">
        <v>75.2</v>
      </c>
      <c r="X121" s="214">
        <v>126.14</v>
      </c>
      <c r="Y121" s="214">
        <v>141.32</v>
      </c>
      <c r="Z121" s="214">
        <v>113.81</v>
      </c>
      <c r="AA121" s="207" t="s">
        <v>386</v>
      </c>
      <c r="AB121" s="208" t="s">
        <v>386</v>
      </c>
      <c r="AC121" s="208" t="s">
        <v>386</v>
      </c>
      <c r="AD121" s="208" t="s">
        <v>386</v>
      </c>
      <c r="AE121" s="208" t="s">
        <v>386</v>
      </c>
      <c r="AF121" s="362" t="s">
        <v>386</v>
      </c>
      <c r="AG121" s="363" t="s">
        <v>386</v>
      </c>
      <c r="AH121" s="363" t="s">
        <v>386</v>
      </c>
      <c r="AI121" s="363" t="s">
        <v>386</v>
      </c>
      <c r="AJ121" s="364" t="s">
        <v>386</v>
      </c>
      <c r="AK121" s="208" t="s">
        <v>386</v>
      </c>
      <c r="AL121" s="208" t="s">
        <v>386</v>
      </c>
      <c r="AM121" s="208" t="s">
        <v>386</v>
      </c>
      <c r="AN121" s="208" t="s">
        <v>386</v>
      </c>
      <c r="AO121" s="208" t="s">
        <v>386</v>
      </c>
      <c r="AP121" s="207" t="s">
        <v>386</v>
      </c>
      <c r="AQ121" s="208" t="s">
        <v>386</v>
      </c>
      <c r="AR121" s="208" t="s">
        <v>386</v>
      </c>
      <c r="AS121" s="208" t="s">
        <v>386</v>
      </c>
      <c r="AT121" s="209" t="s">
        <v>386</v>
      </c>
      <c r="AU121" s="208" t="s">
        <v>386</v>
      </c>
      <c r="AV121" s="208" t="s">
        <v>386</v>
      </c>
      <c r="AW121" s="208" t="s">
        <v>386</v>
      </c>
      <c r="AX121" s="208" t="s">
        <v>386</v>
      </c>
      <c r="AY121" s="208" t="s">
        <v>386</v>
      </c>
      <c r="AZ121" s="207" t="s">
        <v>386</v>
      </c>
      <c r="BA121" s="208" t="s">
        <v>386</v>
      </c>
      <c r="BB121" s="208" t="s">
        <v>386</v>
      </c>
      <c r="BC121" s="208" t="s">
        <v>386</v>
      </c>
      <c r="BD121" s="209" t="s">
        <v>386</v>
      </c>
      <c r="BE121" s="208" t="s">
        <v>386</v>
      </c>
      <c r="BF121" s="208" t="s">
        <v>386</v>
      </c>
      <c r="BG121" s="208" t="s">
        <v>386</v>
      </c>
      <c r="BH121" s="208" t="s">
        <v>386</v>
      </c>
      <c r="BI121" s="208" t="s">
        <v>386</v>
      </c>
      <c r="BJ121" s="207" t="s">
        <v>386</v>
      </c>
      <c r="BK121" s="208" t="s">
        <v>386</v>
      </c>
      <c r="BL121" s="208" t="s">
        <v>386</v>
      </c>
      <c r="BM121" s="208" t="s">
        <v>386</v>
      </c>
      <c r="BN121" s="209" t="s">
        <v>386</v>
      </c>
      <c r="BO121" s="208" t="s">
        <v>386</v>
      </c>
      <c r="BP121" s="208" t="s">
        <v>386</v>
      </c>
      <c r="BQ121" s="208" t="s">
        <v>386</v>
      </c>
      <c r="BR121" s="208" t="s">
        <v>386</v>
      </c>
      <c r="BS121" s="209" t="s">
        <v>386</v>
      </c>
      <c r="BT121" s="208" t="s">
        <v>386</v>
      </c>
      <c r="BU121" s="208" t="s">
        <v>386</v>
      </c>
      <c r="BV121" s="208" t="s">
        <v>386</v>
      </c>
      <c r="BW121" s="208" t="s">
        <v>386</v>
      </c>
      <c r="BX121" s="209" t="s">
        <v>386</v>
      </c>
      <c r="BY121" s="208" t="s">
        <v>386</v>
      </c>
      <c r="BZ121" s="208" t="s">
        <v>386</v>
      </c>
      <c r="CA121" s="208" t="s">
        <v>386</v>
      </c>
      <c r="CB121" s="208" t="s">
        <v>386</v>
      </c>
      <c r="CC121" s="208" t="s">
        <v>386</v>
      </c>
      <c r="CD121" s="207" t="s">
        <v>386</v>
      </c>
      <c r="CE121" s="208" t="s">
        <v>386</v>
      </c>
      <c r="CF121" s="208" t="s">
        <v>386</v>
      </c>
      <c r="CG121" s="208" t="s">
        <v>386</v>
      </c>
      <c r="CH121" s="209" t="s">
        <v>386</v>
      </c>
    </row>
    <row r="122" spans="1:86" x14ac:dyDescent="0.25">
      <c r="A122" s="107" t="s">
        <v>149</v>
      </c>
      <c r="B122" s="213">
        <v>52.88</v>
      </c>
      <c r="C122" s="214">
        <v>50.290000000000006</v>
      </c>
      <c r="D122" s="214">
        <v>73.59</v>
      </c>
      <c r="E122" s="214">
        <v>59.67</v>
      </c>
      <c r="F122" s="214">
        <v>74.759999999999991</v>
      </c>
      <c r="G122" s="213">
        <v>32.58</v>
      </c>
      <c r="H122" s="214">
        <v>26.05</v>
      </c>
      <c r="I122" s="214">
        <v>42.78</v>
      </c>
      <c r="J122" s="214">
        <v>37.35</v>
      </c>
      <c r="K122" s="217">
        <v>38.869999999999997</v>
      </c>
      <c r="L122" s="214">
        <v>100.35</v>
      </c>
      <c r="M122" s="214">
        <v>95.3</v>
      </c>
      <c r="N122" s="214">
        <v>190.89000000000001</v>
      </c>
      <c r="O122" s="214">
        <v>149.30000000000001</v>
      </c>
      <c r="P122" s="214">
        <v>180.07999999999998</v>
      </c>
      <c r="Q122" s="213">
        <v>48.26</v>
      </c>
      <c r="R122" s="214">
        <v>54.23</v>
      </c>
      <c r="S122" s="214">
        <v>81.94</v>
      </c>
      <c r="T122" s="214">
        <v>73.350000000000009</v>
      </c>
      <c r="U122" s="217">
        <v>86.27000000000001</v>
      </c>
      <c r="V122" s="214">
        <v>70.25</v>
      </c>
      <c r="W122" s="214">
        <v>65.040000000000006</v>
      </c>
      <c r="X122" s="214">
        <v>120.97</v>
      </c>
      <c r="Y122" s="214">
        <v>85.12</v>
      </c>
      <c r="Z122" s="214">
        <v>105.01</v>
      </c>
      <c r="AA122" s="213">
        <v>21.55</v>
      </c>
      <c r="AB122" s="214">
        <v>18.899999999999999</v>
      </c>
      <c r="AC122" s="214">
        <v>31.94</v>
      </c>
      <c r="AD122" s="214">
        <v>20.38</v>
      </c>
      <c r="AE122" s="214">
        <v>25.02</v>
      </c>
      <c r="AF122" s="362" t="s">
        <v>386</v>
      </c>
      <c r="AG122" s="363" t="s">
        <v>386</v>
      </c>
      <c r="AH122" s="363" t="s">
        <v>386</v>
      </c>
      <c r="AI122" s="363" t="s">
        <v>386</v>
      </c>
      <c r="AJ122" s="364" t="s">
        <v>386</v>
      </c>
      <c r="AK122" s="214">
        <v>1549.88</v>
      </c>
      <c r="AL122" s="214">
        <v>1395.47</v>
      </c>
      <c r="AM122" s="214">
        <v>2315.56</v>
      </c>
      <c r="AN122" s="214">
        <v>2642.3700000000003</v>
      </c>
      <c r="AO122" s="214">
        <v>2182.4699999999998</v>
      </c>
      <c r="AP122" s="213">
        <v>1763.66</v>
      </c>
      <c r="AQ122" s="214">
        <v>1930.59</v>
      </c>
      <c r="AR122" s="214">
        <v>2749.56</v>
      </c>
      <c r="AS122" s="214">
        <v>2666.64</v>
      </c>
      <c r="AT122" s="217">
        <v>2076.3900000000003</v>
      </c>
      <c r="AU122" s="208" t="s">
        <v>386</v>
      </c>
      <c r="AV122" s="208" t="s">
        <v>386</v>
      </c>
      <c r="AW122" s="208" t="s">
        <v>386</v>
      </c>
      <c r="AX122" s="208" t="s">
        <v>386</v>
      </c>
      <c r="AY122" s="208" t="s">
        <v>386</v>
      </c>
      <c r="AZ122" s="207" t="s">
        <v>386</v>
      </c>
      <c r="BA122" s="208" t="s">
        <v>386</v>
      </c>
      <c r="BB122" s="208" t="s">
        <v>386</v>
      </c>
      <c r="BC122" s="208" t="s">
        <v>386</v>
      </c>
      <c r="BD122" s="209" t="s">
        <v>386</v>
      </c>
      <c r="BE122" s="208" t="s">
        <v>386</v>
      </c>
      <c r="BF122" s="208" t="s">
        <v>386</v>
      </c>
      <c r="BG122" s="208" t="s">
        <v>386</v>
      </c>
      <c r="BH122" s="208" t="s">
        <v>386</v>
      </c>
      <c r="BI122" s="208" t="s">
        <v>386</v>
      </c>
      <c r="BJ122" s="207" t="s">
        <v>386</v>
      </c>
      <c r="BK122" s="208" t="s">
        <v>386</v>
      </c>
      <c r="BL122" s="208" t="s">
        <v>386</v>
      </c>
      <c r="BM122" s="208" t="s">
        <v>386</v>
      </c>
      <c r="BN122" s="209" t="s">
        <v>386</v>
      </c>
      <c r="BO122" s="208" t="s">
        <v>386</v>
      </c>
      <c r="BP122" s="208" t="s">
        <v>386</v>
      </c>
      <c r="BQ122" s="208" t="s">
        <v>386</v>
      </c>
      <c r="BR122" s="208" t="s">
        <v>386</v>
      </c>
      <c r="BS122" s="209" t="s">
        <v>386</v>
      </c>
      <c r="BT122" s="208" t="s">
        <v>386</v>
      </c>
      <c r="BU122" s="208" t="s">
        <v>386</v>
      </c>
      <c r="BV122" s="208" t="s">
        <v>386</v>
      </c>
      <c r="BW122" s="208" t="s">
        <v>386</v>
      </c>
      <c r="BX122" s="209" t="s">
        <v>386</v>
      </c>
      <c r="BY122" s="208" t="s">
        <v>386</v>
      </c>
      <c r="BZ122" s="208" t="s">
        <v>386</v>
      </c>
      <c r="CA122" s="208" t="s">
        <v>386</v>
      </c>
      <c r="CB122" s="208" t="s">
        <v>386</v>
      </c>
      <c r="CC122" s="208" t="s">
        <v>386</v>
      </c>
      <c r="CD122" s="207" t="s">
        <v>386</v>
      </c>
      <c r="CE122" s="208" t="s">
        <v>386</v>
      </c>
      <c r="CF122" s="208" t="s">
        <v>386</v>
      </c>
      <c r="CG122" s="208" t="s">
        <v>386</v>
      </c>
      <c r="CH122" s="209" t="s">
        <v>386</v>
      </c>
    </row>
    <row r="123" spans="1:86" x14ac:dyDescent="0.25">
      <c r="A123" s="107" t="s">
        <v>150</v>
      </c>
      <c r="B123" s="213">
        <v>41.46</v>
      </c>
      <c r="C123" s="214">
        <v>43</v>
      </c>
      <c r="D123" s="214">
        <v>36.659999999999997</v>
      </c>
      <c r="E123" s="214">
        <v>35.200000000000003</v>
      </c>
      <c r="F123" s="214">
        <v>49.28</v>
      </c>
      <c r="G123" s="213">
        <v>63.47</v>
      </c>
      <c r="H123" s="214">
        <v>63.120000000000005</v>
      </c>
      <c r="I123" s="214">
        <v>55.32</v>
      </c>
      <c r="J123" s="214">
        <v>54.360000000000007</v>
      </c>
      <c r="K123" s="217">
        <v>52.22</v>
      </c>
      <c r="L123" s="214">
        <v>228.26</v>
      </c>
      <c r="M123" s="214">
        <v>202.71</v>
      </c>
      <c r="N123" s="214">
        <v>191.48</v>
      </c>
      <c r="O123" s="214">
        <v>194.52</v>
      </c>
      <c r="P123" s="214">
        <v>176.91</v>
      </c>
      <c r="Q123" s="213">
        <v>55</v>
      </c>
      <c r="R123" s="214">
        <v>61</v>
      </c>
      <c r="S123" s="214">
        <v>73.2</v>
      </c>
      <c r="T123" s="214">
        <v>86.51</v>
      </c>
      <c r="U123" s="217">
        <v>85.65</v>
      </c>
      <c r="V123" s="214">
        <v>66.7</v>
      </c>
      <c r="W123" s="214">
        <v>50.5</v>
      </c>
      <c r="X123" s="214">
        <v>64.599999999999994</v>
      </c>
      <c r="Y123" s="214">
        <v>63.58</v>
      </c>
      <c r="Z123" s="214">
        <v>60.8</v>
      </c>
      <c r="AA123" s="207" t="s">
        <v>386</v>
      </c>
      <c r="AB123" s="208" t="s">
        <v>386</v>
      </c>
      <c r="AC123" s="208" t="s">
        <v>386</v>
      </c>
      <c r="AD123" s="208" t="s">
        <v>386</v>
      </c>
      <c r="AE123" s="208" t="s">
        <v>386</v>
      </c>
      <c r="AF123" s="229">
        <v>71</v>
      </c>
      <c r="AG123" s="220">
        <v>94</v>
      </c>
      <c r="AH123" s="220">
        <v>81.83</v>
      </c>
      <c r="AI123" s="220">
        <v>88.21</v>
      </c>
      <c r="AJ123" s="224">
        <v>79.52</v>
      </c>
      <c r="AK123" s="208" t="s">
        <v>386</v>
      </c>
      <c r="AL123" s="208" t="s">
        <v>386</v>
      </c>
      <c r="AM123" s="208" t="s">
        <v>386</v>
      </c>
      <c r="AN123" s="208" t="s">
        <v>386</v>
      </c>
      <c r="AO123" s="208" t="s">
        <v>386</v>
      </c>
      <c r="AP123" s="207" t="s">
        <v>386</v>
      </c>
      <c r="AQ123" s="208" t="s">
        <v>386</v>
      </c>
      <c r="AR123" s="208" t="s">
        <v>386</v>
      </c>
      <c r="AS123" s="208" t="s">
        <v>386</v>
      </c>
      <c r="AT123" s="209" t="s">
        <v>386</v>
      </c>
      <c r="AU123" s="208" t="s">
        <v>386</v>
      </c>
      <c r="AV123" s="208" t="s">
        <v>386</v>
      </c>
      <c r="AW123" s="208" t="s">
        <v>386</v>
      </c>
      <c r="AX123" s="208" t="s">
        <v>386</v>
      </c>
      <c r="AY123" s="208" t="s">
        <v>386</v>
      </c>
      <c r="AZ123" s="207" t="s">
        <v>386</v>
      </c>
      <c r="BA123" s="208" t="s">
        <v>386</v>
      </c>
      <c r="BB123" s="208" t="s">
        <v>386</v>
      </c>
      <c r="BC123" s="208" t="s">
        <v>386</v>
      </c>
      <c r="BD123" s="209" t="s">
        <v>386</v>
      </c>
      <c r="BE123" s="208" t="s">
        <v>386</v>
      </c>
      <c r="BF123" s="208" t="s">
        <v>386</v>
      </c>
      <c r="BG123" s="208" t="s">
        <v>386</v>
      </c>
      <c r="BH123" s="208" t="s">
        <v>386</v>
      </c>
      <c r="BI123" s="208" t="s">
        <v>386</v>
      </c>
      <c r="BJ123" s="207" t="s">
        <v>386</v>
      </c>
      <c r="BK123" s="208" t="s">
        <v>386</v>
      </c>
      <c r="BL123" s="208" t="s">
        <v>386</v>
      </c>
      <c r="BM123" s="208" t="s">
        <v>386</v>
      </c>
      <c r="BN123" s="209" t="s">
        <v>386</v>
      </c>
      <c r="BO123" s="208" t="s">
        <v>386</v>
      </c>
      <c r="BP123" s="208" t="s">
        <v>386</v>
      </c>
      <c r="BQ123" s="208" t="s">
        <v>386</v>
      </c>
      <c r="BR123" s="208" t="s">
        <v>386</v>
      </c>
      <c r="BS123" s="209" t="s">
        <v>386</v>
      </c>
      <c r="BT123" s="208" t="s">
        <v>386</v>
      </c>
      <c r="BU123" s="208" t="s">
        <v>386</v>
      </c>
      <c r="BV123" s="208" t="s">
        <v>386</v>
      </c>
      <c r="BW123" s="208" t="s">
        <v>386</v>
      </c>
      <c r="BX123" s="209" t="s">
        <v>386</v>
      </c>
      <c r="BY123" s="208" t="s">
        <v>386</v>
      </c>
      <c r="BZ123" s="208" t="s">
        <v>386</v>
      </c>
      <c r="CA123" s="208" t="s">
        <v>386</v>
      </c>
      <c r="CB123" s="208" t="s">
        <v>386</v>
      </c>
      <c r="CC123" s="208" t="s">
        <v>386</v>
      </c>
      <c r="CD123" s="207" t="s">
        <v>386</v>
      </c>
      <c r="CE123" s="208" t="s">
        <v>386</v>
      </c>
      <c r="CF123" s="208" t="s">
        <v>386</v>
      </c>
      <c r="CG123" s="208" t="s">
        <v>386</v>
      </c>
      <c r="CH123" s="209" t="s">
        <v>386</v>
      </c>
    </row>
    <row r="124" spans="1:86" x14ac:dyDescent="0.25">
      <c r="A124" s="107" t="s">
        <v>151</v>
      </c>
      <c r="B124" s="213">
        <v>34.700000000000003</v>
      </c>
      <c r="C124" s="214">
        <v>47.1</v>
      </c>
      <c r="D124" s="214">
        <v>37.799999999999997</v>
      </c>
      <c r="E124" s="214">
        <v>46.87</v>
      </c>
      <c r="F124" s="214">
        <v>42.62</v>
      </c>
      <c r="G124" s="213">
        <v>37.35</v>
      </c>
      <c r="H124" s="214">
        <v>21.4</v>
      </c>
      <c r="I124" s="214">
        <v>26.45</v>
      </c>
      <c r="J124" s="214">
        <v>20.84</v>
      </c>
      <c r="K124" s="217">
        <v>31.5</v>
      </c>
      <c r="L124" s="214">
        <v>149.23999999999998</v>
      </c>
      <c r="M124" s="214">
        <v>98.350000000000009</v>
      </c>
      <c r="N124" s="214">
        <v>102.72</v>
      </c>
      <c r="O124" s="214">
        <v>89.39</v>
      </c>
      <c r="P124" s="214">
        <v>119.13000000000001</v>
      </c>
      <c r="Q124" s="213">
        <v>55.9</v>
      </c>
      <c r="R124" s="214">
        <v>61</v>
      </c>
      <c r="S124" s="214">
        <v>49.5</v>
      </c>
      <c r="T124" s="214">
        <v>86.51</v>
      </c>
      <c r="U124" s="217">
        <v>85.65</v>
      </c>
      <c r="V124" s="214">
        <v>56.1</v>
      </c>
      <c r="W124" s="214">
        <v>50.5</v>
      </c>
      <c r="X124" s="214">
        <v>61.5</v>
      </c>
      <c r="Y124" s="214">
        <v>59.98</v>
      </c>
      <c r="Z124" s="214">
        <v>47.2</v>
      </c>
      <c r="AA124" s="207" t="s">
        <v>386</v>
      </c>
      <c r="AB124" s="208" t="s">
        <v>386</v>
      </c>
      <c r="AC124" s="208" t="s">
        <v>386</v>
      </c>
      <c r="AD124" s="208" t="s">
        <v>386</v>
      </c>
      <c r="AE124" s="208" t="s">
        <v>386</v>
      </c>
      <c r="AF124" s="362" t="s">
        <v>386</v>
      </c>
      <c r="AG124" s="363" t="s">
        <v>386</v>
      </c>
      <c r="AH124" s="363" t="s">
        <v>386</v>
      </c>
      <c r="AI124" s="363" t="s">
        <v>386</v>
      </c>
      <c r="AJ124" s="364" t="s">
        <v>386</v>
      </c>
      <c r="AK124" s="214" t="s">
        <v>386</v>
      </c>
      <c r="AL124" s="214" t="s">
        <v>386</v>
      </c>
      <c r="AM124" s="214" t="s">
        <v>386</v>
      </c>
      <c r="AN124" s="214" t="s">
        <v>386</v>
      </c>
      <c r="AO124" s="214" t="s">
        <v>386</v>
      </c>
      <c r="AP124" s="207" t="s">
        <v>386</v>
      </c>
      <c r="AQ124" s="208" t="s">
        <v>386</v>
      </c>
      <c r="AR124" s="208" t="s">
        <v>386</v>
      </c>
      <c r="AS124" s="208" t="s">
        <v>386</v>
      </c>
      <c r="AT124" s="209" t="s">
        <v>386</v>
      </c>
      <c r="AU124" s="208" t="s">
        <v>386</v>
      </c>
      <c r="AV124" s="208" t="s">
        <v>386</v>
      </c>
      <c r="AW124" s="208" t="s">
        <v>386</v>
      </c>
      <c r="AX124" s="208" t="s">
        <v>386</v>
      </c>
      <c r="AY124" s="208" t="s">
        <v>386</v>
      </c>
      <c r="AZ124" s="207" t="s">
        <v>386</v>
      </c>
      <c r="BA124" s="208" t="s">
        <v>386</v>
      </c>
      <c r="BB124" s="208" t="s">
        <v>386</v>
      </c>
      <c r="BC124" s="208" t="s">
        <v>386</v>
      </c>
      <c r="BD124" s="209" t="s">
        <v>386</v>
      </c>
      <c r="BE124" s="208" t="s">
        <v>386</v>
      </c>
      <c r="BF124" s="208" t="s">
        <v>386</v>
      </c>
      <c r="BG124" s="208" t="s">
        <v>386</v>
      </c>
      <c r="BH124" s="208" t="s">
        <v>386</v>
      </c>
      <c r="BI124" s="208" t="s">
        <v>386</v>
      </c>
      <c r="BJ124" s="207" t="s">
        <v>386</v>
      </c>
      <c r="BK124" s="208" t="s">
        <v>386</v>
      </c>
      <c r="BL124" s="208" t="s">
        <v>386</v>
      </c>
      <c r="BM124" s="208" t="s">
        <v>386</v>
      </c>
      <c r="BN124" s="209" t="s">
        <v>386</v>
      </c>
      <c r="BO124" s="208" t="s">
        <v>386</v>
      </c>
      <c r="BP124" s="208" t="s">
        <v>386</v>
      </c>
      <c r="BQ124" s="208" t="s">
        <v>386</v>
      </c>
      <c r="BR124" s="208" t="s">
        <v>386</v>
      </c>
      <c r="BS124" s="209" t="s">
        <v>386</v>
      </c>
      <c r="BT124" s="208" t="s">
        <v>386</v>
      </c>
      <c r="BU124" s="208" t="s">
        <v>386</v>
      </c>
      <c r="BV124" s="208" t="s">
        <v>386</v>
      </c>
      <c r="BW124" s="208" t="s">
        <v>386</v>
      </c>
      <c r="BX124" s="209" t="s">
        <v>386</v>
      </c>
      <c r="BY124" s="208" t="s">
        <v>386</v>
      </c>
      <c r="BZ124" s="208" t="s">
        <v>386</v>
      </c>
      <c r="CA124" s="208" t="s">
        <v>386</v>
      </c>
      <c r="CB124" s="208" t="s">
        <v>386</v>
      </c>
      <c r="CC124" s="208" t="s">
        <v>386</v>
      </c>
      <c r="CD124" s="207" t="s">
        <v>386</v>
      </c>
      <c r="CE124" s="208" t="s">
        <v>386</v>
      </c>
      <c r="CF124" s="208" t="s">
        <v>386</v>
      </c>
      <c r="CG124" s="208" t="s">
        <v>386</v>
      </c>
      <c r="CH124" s="209" t="s">
        <v>386</v>
      </c>
    </row>
    <row r="125" spans="1:86" x14ac:dyDescent="0.25">
      <c r="A125" s="107" t="s">
        <v>152</v>
      </c>
      <c r="B125" s="213">
        <v>59.12</v>
      </c>
      <c r="C125" s="214">
        <v>75.540000000000006</v>
      </c>
      <c r="D125" s="214">
        <v>58.61</v>
      </c>
      <c r="E125" s="214">
        <v>68.59</v>
      </c>
      <c r="F125" s="214">
        <v>45.050000000000004</v>
      </c>
      <c r="G125" s="213">
        <v>60.09</v>
      </c>
      <c r="H125" s="214">
        <v>68.009999999999991</v>
      </c>
      <c r="I125" s="214">
        <v>61.07</v>
      </c>
      <c r="J125" s="214">
        <v>52.75</v>
      </c>
      <c r="K125" s="217">
        <v>46.91</v>
      </c>
      <c r="L125" s="214">
        <v>217.17000000000002</v>
      </c>
      <c r="M125" s="214">
        <v>230.94</v>
      </c>
      <c r="N125" s="214">
        <v>215.48000000000002</v>
      </c>
      <c r="O125" s="214">
        <v>191.91</v>
      </c>
      <c r="P125" s="214">
        <v>158.87</v>
      </c>
      <c r="Q125" s="213">
        <v>55</v>
      </c>
      <c r="R125" s="214">
        <v>61</v>
      </c>
      <c r="S125" s="214">
        <v>73.2</v>
      </c>
      <c r="T125" s="214">
        <v>86.51</v>
      </c>
      <c r="U125" s="217">
        <v>85.65</v>
      </c>
      <c r="V125" s="214">
        <v>72</v>
      </c>
      <c r="W125" s="214">
        <v>64</v>
      </c>
      <c r="X125" s="214">
        <v>79.39</v>
      </c>
      <c r="Y125" s="214">
        <v>64</v>
      </c>
      <c r="Z125" s="214">
        <v>60.8</v>
      </c>
      <c r="AA125" s="213" t="s">
        <v>386</v>
      </c>
      <c r="AB125" s="214" t="s">
        <v>386</v>
      </c>
      <c r="AC125" s="214" t="s">
        <v>386</v>
      </c>
      <c r="AD125" s="214" t="s">
        <v>386</v>
      </c>
      <c r="AE125" s="214" t="s">
        <v>386</v>
      </c>
      <c r="AF125" s="229">
        <v>71</v>
      </c>
      <c r="AG125" s="220">
        <v>94</v>
      </c>
      <c r="AH125" s="220">
        <v>81.83</v>
      </c>
      <c r="AI125" s="220">
        <v>88.21</v>
      </c>
      <c r="AJ125" s="224">
        <v>79.52</v>
      </c>
      <c r="AK125" s="208" t="s">
        <v>386</v>
      </c>
      <c r="AL125" s="208" t="s">
        <v>386</v>
      </c>
      <c r="AM125" s="208" t="s">
        <v>386</v>
      </c>
      <c r="AN125" s="208" t="s">
        <v>386</v>
      </c>
      <c r="AO125" s="208" t="s">
        <v>386</v>
      </c>
      <c r="AP125" s="207" t="s">
        <v>386</v>
      </c>
      <c r="AQ125" s="208" t="s">
        <v>386</v>
      </c>
      <c r="AR125" s="208" t="s">
        <v>386</v>
      </c>
      <c r="AS125" s="208" t="s">
        <v>386</v>
      </c>
      <c r="AT125" s="209" t="s">
        <v>386</v>
      </c>
      <c r="AU125" s="208" t="s">
        <v>386</v>
      </c>
      <c r="AV125" s="208" t="s">
        <v>386</v>
      </c>
      <c r="AW125" s="208" t="s">
        <v>386</v>
      </c>
      <c r="AX125" s="208" t="s">
        <v>386</v>
      </c>
      <c r="AY125" s="208" t="s">
        <v>386</v>
      </c>
      <c r="AZ125" s="207" t="s">
        <v>386</v>
      </c>
      <c r="BA125" s="208" t="s">
        <v>386</v>
      </c>
      <c r="BB125" s="208" t="s">
        <v>386</v>
      </c>
      <c r="BC125" s="208" t="s">
        <v>386</v>
      </c>
      <c r="BD125" s="209" t="s">
        <v>386</v>
      </c>
      <c r="BE125" s="208" t="s">
        <v>386</v>
      </c>
      <c r="BF125" s="208" t="s">
        <v>386</v>
      </c>
      <c r="BG125" s="208" t="s">
        <v>386</v>
      </c>
      <c r="BH125" s="208" t="s">
        <v>386</v>
      </c>
      <c r="BI125" s="208" t="s">
        <v>386</v>
      </c>
      <c r="BJ125" s="207" t="s">
        <v>386</v>
      </c>
      <c r="BK125" s="208" t="s">
        <v>386</v>
      </c>
      <c r="BL125" s="208" t="s">
        <v>386</v>
      </c>
      <c r="BM125" s="208" t="s">
        <v>386</v>
      </c>
      <c r="BN125" s="209" t="s">
        <v>386</v>
      </c>
      <c r="BO125" s="208" t="s">
        <v>386</v>
      </c>
      <c r="BP125" s="208" t="s">
        <v>386</v>
      </c>
      <c r="BQ125" s="208" t="s">
        <v>386</v>
      </c>
      <c r="BR125" s="208" t="s">
        <v>386</v>
      </c>
      <c r="BS125" s="209" t="s">
        <v>386</v>
      </c>
      <c r="BT125" s="208" t="s">
        <v>386</v>
      </c>
      <c r="BU125" s="208" t="s">
        <v>386</v>
      </c>
      <c r="BV125" s="208" t="s">
        <v>386</v>
      </c>
      <c r="BW125" s="208" t="s">
        <v>386</v>
      </c>
      <c r="BX125" s="209" t="s">
        <v>386</v>
      </c>
      <c r="BY125" s="208" t="s">
        <v>386</v>
      </c>
      <c r="BZ125" s="208" t="s">
        <v>386</v>
      </c>
      <c r="CA125" s="208" t="s">
        <v>386</v>
      </c>
      <c r="CB125" s="208" t="s">
        <v>386</v>
      </c>
      <c r="CC125" s="208" t="s">
        <v>386</v>
      </c>
      <c r="CD125" s="207" t="s">
        <v>386</v>
      </c>
      <c r="CE125" s="208" t="s">
        <v>386</v>
      </c>
      <c r="CF125" s="208" t="s">
        <v>386</v>
      </c>
      <c r="CG125" s="208" t="s">
        <v>386</v>
      </c>
      <c r="CH125" s="209" t="s">
        <v>386</v>
      </c>
    </row>
    <row r="126" spans="1:86" x14ac:dyDescent="0.25">
      <c r="A126" s="107" t="s">
        <v>153</v>
      </c>
      <c r="B126" s="213">
        <v>46.85</v>
      </c>
      <c r="C126" s="214">
        <v>47.1</v>
      </c>
      <c r="D126" s="214">
        <v>57.76</v>
      </c>
      <c r="E126" s="214">
        <v>68.56</v>
      </c>
      <c r="F126" s="214">
        <v>69.959999999999994</v>
      </c>
      <c r="G126" s="207" t="s">
        <v>386</v>
      </c>
      <c r="H126" s="208" t="s">
        <v>386</v>
      </c>
      <c r="I126" s="208" t="s">
        <v>386</v>
      </c>
      <c r="J126" s="208" t="s">
        <v>386</v>
      </c>
      <c r="K126" s="209" t="s">
        <v>386</v>
      </c>
      <c r="L126" s="214">
        <v>85.6</v>
      </c>
      <c r="M126" s="214">
        <v>118</v>
      </c>
      <c r="N126" s="214">
        <v>158</v>
      </c>
      <c r="O126" s="214">
        <v>157.69</v>
      </c>
      <c r="P126" s="214">
        <v>80.75</v>
      </c>
      <c r="Q126" s="213">
        <v>56.7</v>
      </c>
      <c r="R126" s="214">
        <v>61</v>
      </c>
      <c r="S126" s="214">
        <v>74.400000000000006</v>
      </c>
      <c r="T126" s="214">
        <v>86.51</v>
      </c>
      <c r="U126" s="217">
        <v>85.65</v>
      </c>
      <c r="V126" s="214">
        <v>75.5</v>
      </c>
      <c r="W126" s="214">
        <v>65</v>
      </c>
      <c r="X126" s="214">
        <v>65.599999999999994</v>
      </c>
      <c r="Y126" s="214">
        <v>81.03</v>
      </c>
      <c r="Z126" s="214">
        <v>87.95</v>
      </c>
      <c r="AA126" s="207" t="s">
        <v>386</v>
      </c>
      <c r="AB126" s="208" t="s">
        <v>386</v>
      </c>
      <c r="AC126" s="208" t="s">
        <v>386</v>
      </c>
      <c r="AD126" s="208" t="s">
        <v>386</v>
      </c>
      <c r="AE126" s="208" t="s">
        <v>386</v>
      </c>
      <c r="AF126" s="362" t="s">
        <v>386</v>
      </c>
      <c r="AG126" s="363" t="s">
        <v>386</v>
      </c>
      <c r="AH126" s="363" t="s">
        <v>386</v>
      </c>
      <c r="AI126" s="363" t="s">
        <v>386</v>
      </c>
      <c r="AJ126" s="364" t="s">
        <v>386</v>
      </c>
      <c r="AK126" s="208" t="s">
        <v>386</v>
      </c>
      <c r="AL126" s="208" t="s">
        <v>386</v>
      </c>
      <c r="AM126" s="208" t="s">
        <v>386</v>
      </c>
      <c r="AN126" s="208" t="s">
        <v>386</v>
      </c>
      <c r="AO126" s="208" t="s">
        <v>386</v>
      </c>
      <c r="AP126" s="213" t="s">
        <v>386</v>
      </c>
      <c r="AQ126" s="214" t="s">
        <v>386</v>
      </c>
      <c r="AR126" s="214" t="s">
        <v>386</v>
      </c>
      <c r="AS126" s="214" t="s">
        <v>386</v>
      </c>
      <c r="AT126" s="217" t="s">
        <v>386</v>
      </c>
      <c r="AU126" s="208" t="s">
        <v>386</v>
      </c>
      <c r="AV126" s="208" t="s">
        <v>386</v>
      </c>
      <c r="AW126" s="208" t="s">
        <v>386</v>
      </c>
      <c r="AX126" s="208" t="s">
        <v>386</v>
      </c>
      <c r="AY126" s="208" t="s">
        <v>386</v>
      </c>
      <c r="AZ126" s="207" t="s">
        <v>386</v>
      </c>
      <c r="BA126" s="208" t="s">
        <v>386</v>
      </c>
      <c r="BB126" s="208" t="s">
        <v>386</v>
      </c>
      <c r="BC126" s="208" t="s">
        <v>386</v>
      </c>
      <c r="BD126" s="209" t="s">
        <v>386</v>
      </c>
      <c r="BE126" s="208" t="s">
        <v>386</v>
      </c>
      <c r="BF126" s="208" t="s">
        <v>386</v>
      </c>
      <c r="BG126" s="208" t="s">
        <v>386</v>
      </c>
      <c r="BH126" s="208" t="s">
        <v>386</v>
      </c>
      <c r="BI126" s="208" t="s">
        <v>386</v>
      </c>
      <c r="BJ126" s="207" t="s">
        <v>386</v>
      </c>
      <c r="BK126" s="208" t="s">
        <v>386</v>
      </c>
      <c r="BL126" s="208" t="s">
        <v>386</v>
      </c>
      <c r="BM126" s="208" t="s">
        <v>386</v>
      </c>
      <c r="BN126" s="209" t="s">
        <v>386</v>
      </c>
      <c r="BO126" s="208" t="s">
        <v>386</v>
      </c>
      <c r="BP126" s="208" t="s">
        <v>386</v>
      </c>
      <c r="BQ126" s="208" t="s">
        <v>386</v>
      </c>
      <c r="BR126" s="208" t="s">
        <v>386</v>
      </c>
      <c r="BS126" s="209" t="s">
        <v>386</v>
      </c>
      <c r="BT126" s="208" t="s">
        <v>386</v>
      </c>
      <c r="BU126" s="208" t="s">
        <v>386</v>
      </c>
      <c r="BV126" s="208" t="s">
        <v>386</v>
      </c>
      <c r="BW126" s="208" t="s">
        <v>386</v>
      </c>
      <c r="BX126" s="209" t="s">
        <v>386</v>
      </c>
      <c r="BY126" s="208" t="s">
        <v>386</v>
      </c>
      <c r="BZ126" s="208" t="s">
        <v>386</v>
      </c>
      <c r="CA126" s="208" t="s">
        <v>386</v>
      </c>
      <c r="CB126" s="208" t="s">
        <v>386</v>
      </c>
      <c r="CC126" s="208" t="s">
        <v>386</v>
      </c>
      <c r="CD126" s="207" t="s">
        <v>386</v>
      </c>
      <c r="CE126" s="208" t="s">
        <v>386</v>
      </c>
      <c r="CF126" s="208" t="s">
        <v>386</v>
      </c>
      <c r="CG126" s="208" t="s">
        <v>386</v>
      </c>
      <c r="CH126" s="209" t="s">
        <v>386</v>
      </c>
    </row>
    <row r="127" spans="1:86" x14ac:dyDescent="0.25">
      <c r="A127" s="107" t="s">
        <v>154</v>
      </c>
      <c r="B127" s="213">
        <v>36.22</v>
      </c>
      <c r="C127" s="214">
        <v>35.299999999999997</v>
      </c>
      <c r="D127" s="214">
        <v>39.82</v>
      </c>
      <c r="E127" s="214">
        <v>36.64</v>
      </c>
      <c r="F127" s="214">
        <v>45.89</v>
      </c>
      <c r="G127" s="213">
        <v>55.75</v>
      </c>
      <c r="H127" s="214">
        <v>42.330000000000005</v>
      </c>
      <c r="I127" s="214">
        <v>49.98</v>
      </c>
      <c r="J127" s="214">
        <v>46.05</v>
      </c>
      <c r="K127" s="217">
        <v>52</v>
      </c>
      <c r="L127" s="214">
        <v>210.46</v>
      </c>
      <c r="M127" s="214">
        <v>135.6</v>
      </c>
      <c r="N127" s="214">
        <v>186.67</v>
      </c>
      <c r="O127" s="214">
        <v>151.5</v>
      </c>
      <c r="P127" s="214">
        <v>196.73</v>
      </c>
      <c r="Q127" s="213">
        <v>58.8</v>
      </c>
      <c r="R127" s="214">
        <v>63.75</v>
      </c>
      <c r="S127" s="214">
        <v>51.300000000000004</v>
      </c>
      <c r="T127" s="214">
        <v>88.160000000000011</v>
      </c>
      <c r="U127" s="217">
        <v>86.75</v>
      </c>
      <c r="V127" s="214">
        <v>55.2</v>
      </c>
      <c r="W127" s="214">
        <v>56</v>
      </c>
      <c r="X127" s="214">
        <v>62</v>
      </c>
      <c r="Y127" s="214">
        <v>56.8</v>
      </c>
      <c r="Z127" s="214">
        <v>60.8</v>
      </c>
      <c r="AA127" s="213">
        <v>16.3</v>
      </c>
      <c r="AB127" s="214">
        <v>18.899999999999999</v>
      </c>
      <c r="AC127" s="214">
        <v>31.94</v>
      </c>
      <c r="AD127" s="214">
        <v>20.38</v>
      </c>
      <c r="AE127" s="214">
        <v>25.02</v>
      </c>
      <c r="AF127" s="229">
        <v>71</v>
      </c>
      <c r="AG127" s="220">
        <v>94</v>
      </c>
      <c r="AH127" s="220">
        <v>81.83</v>
      </c>
      <c r="AI127" s="220">
        <v>88.21</v>
      </c>
      <c r="AJ127" s="224">
        <v>79.52</v>
      </c>
      <c r="AK127" s="208" t="s">
        <v>386</v>
      </c>
      <c r="AL127" s="208" t="s">
        <v>386</v>
      </c>
      <c r="AM127" s="208" t="s">
        <v>386</v>
      </c>
      <c r="AN127" s="208" t="s">
        <v>386</v>
      </c>
      <c r="AO127" s="208" t="s">
        <v>386</v>
      </c>
      <c r="AP127" s="213">
        <v>1748</v>
      </c>
      <c r="AQ127" s="214">
        <v>2185.46</v>
      </c>
      <c r="AR127" s="214">
        <v>2593.81</v>
      </c>
      <c r="AS127" s="214">
        <v>2553.84</v>
      </c>
      <c r="AT127" s="217">
        <v>1845.18</v>
      </c>
      <c r="AU127" s="208" t="s">
        <v>386</v>
      </c>
      <c r="AV127" s="208" t="s">
        <v>386</v>
      </c>
      <c r="AW127" s="208" t="s">
        <v>386</v>
      </c>
      <c r="AX127" s="208" t="s">
        <v>386</v>
      </c>
      <c r="AY127" s="208" t="s">
        <v>386</v>
      </c>
      <c r="AZ127" s="207" t="s">
        <v>386</v>
      </c>
      <c r="BA127" s="208" t="s">
        <v>386</v>
      </c>
      <c r="BB127" s="208" t="s">
        <v>386</v>
      </c>
      <c r="BC127" s="208" t="s">
        <v>386</v>
      </c>
      <c r="BD127" s="209" t="s">
        <v>386</v>
      </c>
      <c r="BE127" s="208" t="s">
        <v>386</v>
      </c>
      <c r="BF127" s="208" t="s">
        <v>386</v>
      </c>
      <c r="BG127" s="208" t="s">
        <v>386</v>
      </c>
      <c r="BH127" s="208" t="s">
        <v>386</v>
      </c>
      <c r="BI127" s="208" t="s">
        <v>386</v>
      </c>
      <c r="BJ127" s="207" t="s">
        <v>386</v>
      </c>
      <c r="BK127" s="208" t="s">
        <v>386</v>
      </c>
      <c r="BL127" s="208" t="s">
        <v>386</v>
      </c>
      <c r="BM127" s="208" t="s">
        <v>386</v>
      </c>
      <c r="BN127" s="209" t="s">
        <v>386</v>
      </c>
      <c r="BO127" s="208" t="s">
        <v>386</v>
      </c>
      <c r="BP127" s="208" t="s">
        <v>386</v>
      </c>
      <c r="BQ127" s="208" t="s">
        <v>386</v>
      </c>
      <c r="BR127" s="208" t="s">
        <v>386</v>
      </c>
      <c r="BS127" s="209" t="s">
        <v>386</v>
      </c>
      <c r="BT127" s="208" t="s">
        <v>386</v>
      </c>
      <c r="BU127" s="208" t="s">
        <v>386</v>
      </c>
      <c r="BV127" s="208" t="s">
        <v>386</v>
      </c>
      <c r="BW127" s="208" t="s">
        <v>386</v>
      </c>
      <c r="BX127" s="209" t="s">
        <v>386</v>
      </c>
      <c r="BY127" s="208" t="s">
        <v>386</v>
      </c>
      <c r="BZ127" s="208" t="s">
        <v>386</v>
      </c>
      <c r="CA127" s="208" t="s">
        <v>386</v>
      </c>
      <c r="CB127" s="208" t="s">
        <v>386</v>
      </c>
      <c r="CC127" s="208" t="s">
        <v>386</v>
      </c>
      <c r="CD127" s="207" t="s">
        <v>386</v>
      </c>
      <c r="CE127" s="208" t="s">
        <v>386</v>
      </c>
      <c r="CF127" s="208" t="s">
        <v>386</v>
      </c>
      <c r="CG127" s="208" t="s">
        <v>386</v>
      </c>
      <c r="CH127" s="209" t="s">
        <v>386</v>
      </c>
    </row>
    <row r="128" spans="1:86" x14ac:dyDescent="0.25">
      <c r="A128" s="107" t="s">
        <v>155</v>
      </c>
      <c r="B128" s="213">
        <v>51.7</v>
      </c>
      <c r="C128" s="214">
        <v>47.1</v>
      </c>
      <c r="D128" s="214">
        <v>44.9</v>
      </c>
      <c r="E128" s="214">
        <v>68.56</v>
      </c>
      <c r="F128" s="214">
        <v>41.51</v>
      </c>
      <c r="G128" s="213">
        <v>66.209999999999994</v>
      </c>
      <c r="H128" s="214">
        <v>67.77</v>
      </c>
      <c r="I128" s="214">
        <v>65.44</v>
      </c>
      <c r="J128" s="214">
        <v>55.74</v>
      </c>
      <c r="K128" s="217">
        <v>52.88</v>
      </c>
      <c r="L128" s="214" t="s">
        <v>386</v>
      </c>
      <c r="M128" s="214" t="s">
        <v>386</v>
      </c>
      <c r="N128" s="214" t="s">
        <v>386</v>
      </c>
      <c r="O128" s="214" t="s">
        <v>386</v>
      </c>
      <c r="P128" s="214" t="s">
        <v>386</v>
      </c>
      <c r="Q128" s="213">
        <v>55</v>
      </c>
      <c r="R128" s="214">
        <v>61</v>
      </c>
      <c r="S128" s="214">
        <v>73.2</v>
      </c>
      <c r="T128" s="214">
        <v>86.51</v>
      </c>
      <c r="U128" s="217">
        <v>85.65</v>
      </c>
      <c r="V128" s="214">
        <v>66.400000000000006</v>
      </c>
      <c r="W128" s="214">
        <v>81.2</v>
      </c>
      <c r="X128" s="214">
        <v>76.7</v>
      </c>
      <c r="Y128" s="214">
        <v>102.98</v>
      </c>
      <c r="Z128" s="214">
        <v>97.65</v>
      </c>
      <c r="AA128" s="207" t="s">
        <v>386</v>
      </c>
      <c r="AB128" s="208" t="s">
        <v>386</v>
      </c>
      <c r="AC128" s="208" t="s">
        <v>386</v>
      </c>
      <c r="AD128" s="208" t="s">
        <v>386</v>
      </c>
      <c r="AE128" s="208" t="s">
        <v>386</v>
      </c>
      <c r="AF128" s="229" t="s">
        <v>386</v>
      </c>
      <c r="AG128" s="220" t="s">
        <v>386</v>
      </c>
      <c r="AH128" s="220" t="s">
        <v>386</v>
      </c>
      <c r="AI128" s="220" t="s">
        <v>386</v>
      </c>
      <c r="AJ128" s="224" t="s">
        <v>386</v>
      </c>
      <c r="AK128" s="208" t="s">
        <v>386</v>
      </c>
      <c r="AL128" s="208" t="s">
        <v>386</v>
      </c>
      <c r="AM128" s="208" t="s">
        <v>386</v>
      </c>
      <c r="AN128" s="208" t="s">
        <v>386</v>
      </c>
      <c r="AO128" s="208" t="s">
        <v>386</v>
      </c>
      <c r="AP128" s="207" t="s">
        <v>386</v>
      </c>
      <c r="AQ128" s="208" t="s">
        <v>386</v>
      </c>
      <c r="AR128" s="208" t="s">
        <v>386</v>
      </c>
      <c r="AS128" s="208" t="s">
        <v>386</v>
      </c>
      <c r="AT128" s="209" t="s">
        <v>386</v>
      </c>
      <c r="AU128" s="208" t="s">
        <v>386</v>
      </c>
      <c r="AV128" s="208" t="s">
        <v>386</v>
      </c>
      <c r="AW128" s="208" t="s">
        <v>386</v>
      </c>
      <c r="AX128" s="208" t="s">
        <v>386</v>
      </c>
      <c r="AY128" s="208" t="s">
        <v>386</v>
      </c>
      <c r="AZ128" s="207" t="s">
        <v>386</v>
      </c>
      <c r="BA128" s="208" t="s">
        <v>386</v>
      </c>
      <c r="BB128" s="208" t="s">
        <v>386</v>
      </c>
      <c r="BC128" s="208" t="s">
        <v>386</v>
      </c>
      <c r="BD128" s="209" t="s">
        <v>386</v>
      </c>
      <c r="BE128" s="208" t="s">
        <v>386</v>
      </c>
      <c r="BF128" s="208" t="s">
        <v>386</v>
      </c>
      <c r="BG128" s="208" t="s">
        <v>386</v>
      </c>
      <c r="BH128" s="208" t="s">
        <v>386</v>
      </c>
      <c r="BI128" s="208" t="s">
        <v>386</v>
      </c>
      <c r="BJ128" s="207" t="s">
        <v>386</v>
      </c>
      <c r="BK128" s="208" t="s">
        <v>386</v>
      </c>
      <c r="BL128" s="208" t="s">
        <v>386</v>
      </c>
      <c r="BM128" s="208" t="s">
        <v>386</v>
      </c>
      <c r="BN128" s="209" t="s">
        <v>386</v>
      </c>
      <c r="BO128" s="208" t="s">
        <v>386</v>
      </c>
      <c r="BP128" s="208" t="s">
        <v>386</v>
      </c>
      <c r="BQ128" s="208" t="s">
        <v>386</v>
      </c>
      <c r="BR128" s="208" t="s">
        <v>386</v>
      </c>
      <c r="BS128" s="209" t="s">
        <v>386</v>
      </c>
      <c r="BT128" s="208" t="s">
        <v>386</v>
      </c>
      <c r="BU128" s="208" t="s">
        <v>386</v>
      </c>
      <c r="BV128" s="208" t="s">
        <v>386</v>
      </c>
      <c r="BW128" s="208" t="s">
        <v>386</v>
      </c>
      <c r="BX128" s="209" t="s">
        <v>386</v>
      </c>
      <c r="BY128" s="208" t="s">
        <v>386</v>
      </c>
      <c r="BZ128" s="208" t="s">
        <v>386</v>
      </c>
      <c r="CA128" s="208" t="s">
        <v>386</v>
      </c>
      <c r="CB128" s="208" t="s">
        <v>386</v>
      </c>
      <c r="CC128" s="208" t="s">
        <v>386</v>
      </c>
      <c r="CD128" s="207" t="s">
        <v>386</v>
      </c>
      <c r="CE128" s="208" t="s">
        <v>386</v>
      </c>
      <c r="CF128" s="208" t="s">
        <v>386</v>
      </c>
      <c r="CG128" s="208" t="s">
        <v>386</v>
      </c>
      <c r="CH128" s="209" t="s">
        <v>386</v>
      </c>
    </row>
    <row r="129" spans="1:86" x14ac:dyDescent="0.25">
      <c r="A129" s="107" t="s">
        <v>156</v>
      </c>
      <c r="B129" s="213">
        <v>58.92</v>
      </c>
      <c r="C129" s="214">
        <v>65.679999999999993</v>
      </c>
      <c r="D129" s="214">
        <v>60.36</v>
      </c>
      <c r="E129" s="214">
        <v>63.4</v>
      </c>
      <c r="F129" s="214">
        <v>51.12</v>
      </c>
      <c r="G129" s="213">
        <v>53.830000000000005</v>
      </c>
      <c r="H129" s="214">
        <v>55.379999999999995</v>
      </c>
      <c r="I129" s="214">
        <v>47.96</v>
      </c>
      <c r="J129" s="214">
        <v>51.160000000000004</v>
      </c>
      <c r="K129" s="217">
        <v>45.410000000000004</v>
      </c>
      <c r="L129" s="214">
        <v>204.79999999999998</v>
      </c>
      <c r="M129" s="214">
        <v>199.35</v>
      </c>
      <c r="N129" s="214">
        <v>191.21</v>
      </c>
      <c r="O129" s="214">
        <v>193.74</v>
      </c>
      <c r="P129" s="214">
        <v>190.41</v>
      </c>
      <c r="Q129" s="213">
        <v>72.599999999999994</v>
      </c>
      <c r="R129" s="214">
        <v>61</v>
      </c>
      <c r="S129" s="214">
        <v>63.1</v>
      </c>
      <c r="T129" s="214">
        <v>63.59</v>
      </c>
      <c r="U129" s="217">
        <v>61</v>
      </c>
      <c r="V129" s="214">
        <v>75.900000000000006</v>
      </c>
      <c r="W129" s="214">
        <v>50.5</v>
      </c>
      <c r="X129" s="214">
        <v>59.8</v>
      </c>
      <c r="Y129" s="214">
        <v>58.74</v>
      </c>
      <c r="Z129" s="214">
        <v>67.94</v>
      </c>
      <c r="AA129" s="213">
        <v>16.3</v>
      </c>
      <c r="AB129" s="214">
        <v>18.899999999999999</v>
      </c>
      <c r="AC129" s="214">
        <v>31.94</v>
      </c>
      <c r="AD129" s="214">
        <v>20.38</v>
      </c>
      <c r="AE129" s="214">
        <v>25.02</v>
      </c>
      <c r="AF129" s="229">
        <v>71</v>
      </c>
      <c r="AG129" s="220">
        <v>94</v>
      </c>
      <c r="AH129" s="220">
        <v>81.83</v>
      </c>
      <c r="AI129" s="220">
        <v>88.21</v>
      </c>
      <c r="AJ129" s="224">
        <v>79.52</v>
      </c>
      <c r="AK129" s="208" t="s">
        <v>386</v>
      </c>
      <c r="AL129" s="208" t="s">
        <v>386</v>
      </c>
      <c r="AM129" s="208" t="s">
        <v>386</v>
      </c>
      <c r="AN129" s="208" t="s">
        <v>386</v>
      </c>
      <c r="AO129" s="208" t="s">
        <v>386</v>
      </c>
      <c r="AP129" s="213">
        <v>1917</v>
      </c>
      <c r="AQ129" s="214">
        <v>2185.46</v>
      </c>
      <c r="AR129" s="214">
        <v>2593.81</v>
      </c>
      <c r="AS129" s="214">
        <v>2553.84</v>
      </c>
      <c r="AT129" s="217">
        <v>1845.18</v>
      </c>
      <c r="AU129" s="208" t="s">
        <v>386</v>
      </c>
      <c r="AV129" s="208" t="s">
        <v>386</v>
      </c>
      <c r="AW129" s="208" t="s">
        <v>386</v>
      </c>
      <c r="AX129" s="208" t="s">
        <v>386</v>
      </c>
      <c r="AY129" s="208" t="s">
        <v>386</v>
      </c>
      <c r="AZ129" s="207" t="s">
        <v>386</v>
      </c>
      <c r="BA129" s="208" t="s">
        <v>386</v>
      </c>
      <c r="BB129" s="208" t="s">
        <v>386</v>
      </c>
      <c r="BC129" s="208" t="s">
        <v>386</v>
      </c>
      <c r="BD129" s="209" t="s">
        <v>386</v>
      </c>
      <c r="BE129" s="208" t="s">
        <v>386</v>
      </c>
      <c r="BF129" s="208" t="s">
        <v>386</v>
      </c>
      <c r="BG129" s="208" t="s">
        <v>386</v>
      </c>
      <c r="BH129" s="208" t="s">
        <v>386</v>
      </c>
      <c r="BI129" s="208" t="s">
        <v>386</v>
      </c>
      <c r="BJ129" s="207" t="s">
        <v>386</v>
      </c>
      <c r="BK129" s="208" t="s">
        <v>386</v>
      </c>
      <c r="BL129" s="208" t="s">
        <v>386</v>
      </c>
      <c r="BM129" s="208" t="s">
        <v>386</v>
      </c>
      <c r="BN129" s="209" t="s">
        <v>386</v>
      </c>
      <c r="BO129" s="208" t="s">
        <v>386</v>
      </c>
      <c r="BP129" s="208" t="s">
        <v>386</v>
      </c>
      <c r="BQ129" s="208" t="s">
        <v>386</v>
      </c>
      <c r="BR129" s="208" t="s">
        <v>386</v>
      </c>
      <c r="BS129" s="209" t="s">
        <v>386</v>
      </c>
      <c r="BT129" s="208" t="s">
        <v>386</v>
      </c>
      <c r="BU129" s="208" t="s">
        <v>386</v>
      </c>
      <c r="BV129" s="208" t="s">
        <v>386</v>
      </c>
      <c r="BW129" s="208" t="s">
        <v>386</v>
      </c>
      <c r="BX129" s="209" t="s">
        <v>386</v>
      </c>
      <c r="BY129" s="208" t="s">
        <v>386</v>
      </c>
      <c r="BZ129" s="208" t="s">
        <v>386</v>
      </c>
      <c r="CA129" s="208" t="s">
        <v>386</v>
      </c>
      <c r="CB129" s="208" t="s">
        <v>386</v>
      </c>
      <c r="CC129" s="208" t="s">
        <v>386</v>
      </c>
      <c r="CD129" s="207" t="s">
        <v>386</v>
      </c>
      <c r="CE129" s="208" t="s">
        <v>386</v>
      </c>
      <c r="CF129" s="208" t="s">
        <v>386</v>
      </c>
      <c r="CG129" s="208" t="s">
        <v>386</v>
      </c>
      <c r="CH129" s="209" t="s">
        <v>386</v>
      </c>
    </row>
    <row r="130" spans="1:86" x14ac:dyDescent="0.25">
      <c r="A130" s="107" t="s">
        <v>157</v>
      </c>
      <c r="B130" s="213">
        <v>56.82</v>
      </c>
      <c r="C130" s="214">
        <v>68.36</v>
      </c>
      <c r="D130" s="214">
        <v>54.22</v>
      </c>
      <c r="E130" s="214">
        <v>53.61</v>
      </c>
      <c r="F130" s="214">
        <v>47.62</v>
      </c>
      <c r="G130" s="213">
        <v>55.05</v>
      </c>
      <c r="H130" s="214">
        <v>52.61</v>
      </c>
      <c r="I130" s="214">
        <v>49.13</v>
      </c>
      <c r="J130" s="214">
        <v>48.33</v>
      </c>
      <c r="K130" s="217">
        <v>46.309999999999995</v>
      </c>
      <c r="L130" s="214">
        <v>212.42000000000002</v>
      </c>
      <c r="M130" s="214">
        <v>206.34</v>
      </c>
      <c r="N130" s="214">
        <v>203.43</v>
      </c>
      <c r="O130" s="214">
        <v>198.48</v>
      </c>
      <c r="P130" s="214">
        <v>189.26000000000002</v>
      </c>
      <c r="Q130" s="213">
        <v>67.5</v>
      </c>
      <c r="R130" s="214">
        <v>61</v>
      </c>
      <c r="S130" s="214">
        <v>76.5</v>
      </c>
      <c r="T130" s="214">
        <v>86.51</v>
      </c>
      <c r="U130" s="217">
        <v>61</v>
      </c>
      <c r="V130" s="214">
        <v>101.42</v>
      </c>
      <c r="W130" s="214">
        <v>68.7</v>
      </c>
      <c r="X130" s="214">
        <v>80.790000000000006</v>
      </c>
      <c r="Y130" s="214">
        <v>92.45</v>
      </c>
      <c r="Z130" s="214">
        <v>86.3</v>
      </c>
      <c r="AA130" s="207" t="s">
        <v>386</v>
      </c>
      <c r="AB130" s="208" t="s">
        <v>386</v>
      </c>
      <c r="AC130" s="208" t="s">
        <v>386</v>
      </c>
      <c r="AD130" s="208" t="s">
        <v>386</v>
      </c>
      <c r="AE130" s="208" t="s">
        <v>386</v>
      </c>
      <c r="AF130" s="362" t="s">
        <v>386</v>
      </c>
      <c r="AG130" s="363" t="s">
        <v>386</v>
      </c>
      <c r="AH130" s="363" t="s">
        <v>386</v>
      </c>
      <c r="AI130" s="363" t="s">
        <v>386</v>
      </c>
      <c r="AJ130" s="364" t="s">
        <v>386</v>
      </c>
      <c r="AK130" s="208" t="s">
        <v>386</v>
      </c>
      <c r="AL130" s="208" t="s">
        <v>386</v>
      </c>
      <c r="AM130" s="208" t="s">
        <v>386</v>
      </c>
      <c r="AN130" s="208" t="s">
        <v>386</v>
      </c>
      <c r="AO130" s="208" t="s">
        <v>386</v>
      </c>
      <c r="AP130" s="207">
        <v>1924</v>
      </c>
      <c r="AQ130" s="208">
        <v>2185.46</v>
      </c>
      <c r="AR130" s="208">
        <v>2593.81</v>
      </c>
      <c r="AS130" s="208">
        <v>2553.84</v>
      </c>
      <c r="AT130" s="209">
        <v>1845.18</v>
      </c>
      <c r="AU130" s="208" t="s">
        <v>386</v>
      </c>
      <c r="AV130" s="208" t="s">
        <v>386</v>
      </c>
      <c r="AW130" s="208" t="s">
        <v>386</v>
      </c>
      <c r="AX130" s="208" t="s">
        <v>386</v>
      </c>
      <c r="AY130" s="208" t="s">
        <v>386</v>
      </c>
      <c r="AZ130" s="207" t="s">
        <v>386</v>
      </c>
      <c r="BA130" s="208" t="s">
        <v>386</v>
      </c>
      <c r="BB130" s="208" t="s">
        <v>386</v>
      </c>
      <c r="BC130" s="208" t="s">
        <v>386</v>
      </c>
      <c r="BD130" s="209" t="s">
        <v>386</v>
      </c>
      <c r="BE130" s="208" t="s">
        <v>386</v>
      </c>
      <c r="BF130" s="208" t="s">
        <v>386</v>
      </c>
      <c r="BG130" s="208" t="s">
        <v>386</v>
      </c>
      <c r="BH130" s="208" t="s">
        <v>386</v>
      </c>
      <c r="BI130" s="208" t="s">
        <v>386</v>
      </c>
      <c r="BJ130" s="207" t="s">
        <v>386</v>
      </c>
      <c r="BK130" s="208" t="s">
        <v>386</v>
      </c>
      <c r="BL130" s="208" t="s">
        <v>386</v>
      </c>
      <c r="BM130" s="208" t="s">
        <v>386</v>
      </c>
      <c r="BN130" s="209" t="s">
        <v>386</v>
      </c>
      <c r="BO130" s="208" t="s">
        <v>386</v>
      </c>
      <c r="BP130" s="208" t="s">
        <v>386</v>
      </c>
      <c r="BQ130" s="208" t="s">
        <v>386</v>
      </c>
      <c r="BR130" s="208" t="s">
        <v>386</v>
      </c>
      <c r="BS130" s="209" t="s">
        <v>386</v>
      </c>
      <c r="BT130" s="208" t="s">
        <v>386</v>
      </c>
      <c r="BU130" s="208" t="s">
        <v>386</v>
      </c>
      <c r="BV130" s="208" t="s">
        <v>386</v>
      </c>
      <c r="BW130" s="208" t="s">
        <v>386</v>
      </c>
      <c r="BX130" s="209" t="s">
        <v>386</v>
      </c>
      <c r="BY130" s="208" t="s">
        <v>386</v>
      </c>
      <c r="BZ130" s="208" t="s">
        <v>386</v>
      </c>
      <c r="CA130" s="208" t="s">
        <v>386</v>
      </c>
      <c r="CB130" s="208" t="s">
        <v>386</v>
      </c>
      <c r="CC130" s="208" t="s">
        <v>386</v>
      </c>
      <c r="CD130" s="207" t="s">
        <v>386</v>
      </c>
      <c r="CE130" s="208" t="s">
        <v>386</v>
      </c>
      <c r="CF130" s="208" t="s">
        <v>386</v>
      </c>
      <c r="CG130" s="208" t="s">
        <v>386</v>
      </c>
      <c r="CH130" s="209" t="s">
        <v>386</v>
      </c>
    </row>
    <row r="131" spans="1:86" x14ac:dyDescent="0.25">
      <c r="A131" s="107" t="s">
        <v>158</v>
      </c>
      <c r="B131" s="213">
        <v>34.6</v>
      </c>
      <c r="C131" s="214">
        <v>33.849999999999994</v>
      </c>
      <c r="D131" s="214">
        <v>37.340000000000003</v>
      </c>
      <c r="E131" s="214">
        <v>35.03</v>
      </c>
      <c r="F131" s="214">
        <v>43.09</v>
      </c>
      <c r="G131" s="213">
        <v>48.54</v>
      </c>
      <c r="H131" s="214">
        <v>37.1</v>
      </c>
      <c r="I131" s="214">
        <v>44.5</v>
      </c>
      <c r="J131" s="214">
        <v>35.54</v>
      </c>
      <c r="K131" s="217">
        <v>40.119999999999997</v>
      </c>
      <c r="L131" s="214">
        <v>182.88</v>
      </c>
      <c r="M131" s="214">
        <v>121.19999999999999</v>
      </c>
      <c r="N131" s="214">
        <v>172.24</v>
      </c>
      <c r="O131" s="214">
        <v>127.5</v>
      </c>
      <c r="P131" s="214">
        <v>150.63999999999999</v>
      </c>
      <c r="Q131" s="213">
        <v>43.08</v>
      </c>
      <c r="R131" s="214">
        <v>62.9</v>
      </c>
      <c r="S131" s="214">
        <v>51.92</v>
      </c>
      <c r="T131" s="214">
        <v>87.65</v>
      </c>
      <c r="U131" s="217">
        <v>86.410000000000011</v>
      </c>
      <c r="V131" s="214">
        <v>53.5</v>
      </c>
      <c r="W131" s="214">
        <v>42.4</v>
      </c>
      <c r="X131" s="214">
        <v>42.6</v>
      </c>
      <c r="Y131" s="214">
        <v>42.4</v>
      </c>
      <c r="Z131" s="214">
        <v>56.7</v>
      </c>
      <c r="AA131" s="207">
        <v>16.3</v>
      </c>
      <c r="AB131" s="208">
        <v>18.899999999999999</v>
      </c>
      <c r="AC131" s="208">
        <v>31.94</v>
      </c>
      <c r="AD131" s="208">
        <v>20.38</v>
      </c>
      <c r="AE131" s="208">
        <v>25.02</v>
      </c>
      <c r="AF131" s="229">
        <v>71</v>
      </c>
      <c r="AG131" s="220">
        <v>94</v>
      </c>
      <c r="AH131" s="220">
        <v>81.83</v>
      </c>
      <c r="AI131" s="220">
        <v>88.21</v>
      </c>
      <c r="AJ131" s="224">
        <v>79.52</v>
      </c>
      <c r="AK131" s="208" t="s">
        <v>386</v>
      </c>
      <c r="AL131" s="208" t="s">
        <v>386</v>
      </c>
      <c r="AM131" s="208" t="s">
        <v>386</v>
      </c>
      <c r="AN131" s="208" t="s">
        <v>386</v>
      </c>
      <c r="AO131" s="208" t="s">
        <v>386</v>
      </c>
      <c r="AP131" s="213">
        <v>1835</v>
      </c>
      <c r="AQ131" s="214">
        <v>2185.46</v>
      </c>
      <c r="AR131" s="214">
        <v>2593.81</v>
      </c>
      <c r="AS131" s="214">
        <v>2553.84</v>
      </c>
      <c r="AT131" s="217">
        <v>1845.18</v>
      </c>
      <c r="AU131" s="208" t="s">
        <v>386</v>
      </c>
      <c r="AV131" s="208" t="s">
        <v>386</v>
      </c>
      <c r="AW131" s="208" t="s">
        <v>386</v>
      </c>
      <c r="AX131" s="208" t="s">
        <v>386</v>
      </c>
      <c r="AY131" s="208" t="s">
        <v>386</v>
      </c>
      <c r="AZ131" s="207" t="s">
        <v>386</v>
      </c>
      <c r="BA131" s="208" t="s">
        <v>386</v>
      </c>
      <c r="BB131" s="208" t="s">
        <v>386</v>
      </c>
      <c r="BC131" s="208" t="s">
        <v>386</v>
      </c>
      <c r="BD131" s="209" t="s">
        <v>386</v>
      </c>
      <c r="BE131" s="208" t="s">
        <v>386</v>
      </c>
      <c r="BF131" s="208" t="s">
        <v>386</v>
      </c>
      <c r="BG131" s="208" t="s">
        <v>386</v>
      </c>
      <c r="BH131" s="208" t="s">
        <v>386</v>
      </c>
      <c r="BI131" s="208" t="s">
        <v>386</v>
      </c>
      <c r="BJ131" s="207" t="s">
        <v>386</v>
      </c>
      <c r="BK131" s="208" t="s">
        <v>386</v>
      </c>
      <c r="BL131" s="208" t="s">
        <v>386</v>
      </c>
      <c r="BM131" s="208" t="s">
        <v>386</v>
      </c>
      <c r="BN131" s="209" t="s">
        <v>386</v>
      </c>
      <c r="BO131" s="208" t="s">
        <v>386</v>
      </c>
      <c r="BP131" s="208" t="s">
        <v>386</v>
      </c>
      <c r="BQ131" s="208" t="s">
        <v>386</v>
      </c>
      <c r="BR131" s="208" t="s">
        <v>386</v>
      </c>
      <c r="BS131" s="209" t="s">
        <v>386</v>
      </c>
      <c r="BT131" s="208" t="s">
        <v>386</v>
      </c>
      <c r="BU131" s="208" t="s">
        <v>386</v>
      </c>
      <c r="BV131" s="208" t="s">
        <v>386</v>
      </c>
      <c r="BW131" s="208" t="s">
        <v>386</v>
      </c>
      <c r="BX131" s="209" t="s">
        <v>386</v>
      </c>
      <c r="BY131" s="208" t="s">
        <v>386</v>
      </c>
      <c r="BZ131" s="208" t="s">
        <v>386</v>
      </c>
      <c r="CA131" s="208" t="s">
        <v>386</v>
      </c>
      <c r="CB131" s="208" t="s">
        <v>386</v>
      </c>
      <c r="CC131" s="208" t="s">
        <v>386</v>
      </c>
      <c r="CD131" s="207" t="s">
        <v>386</v>
      </c>
      <c r="CE131" s="208" t="s">
        <v>386</v>
      </c>
      <c r="CF131" s="208" t="s">
        <v>386</v>
      </c>
      <c r="CG131" s="208" t="s">
        <v>386</v>
      </c>
      <c r="CH131" s="209" t="s">
        <v>386</v>
      </c>
    </row>
    <row r="132" spans="1:86" x14ac:dyDescent="0.25">
      <c r="A132" s="107" t="s">
        <v>159</v>
      </c>
      <c r="B132" s="213">
        <v>51.74</v>
      </c>
      <c r="C132" s="214">
        <v>59.44</v>
      </c>
      <c r="D132" s="214">
        <v>48.28</v>
      </c>
      <c r="E132" s="214">
        <v>46.67</v>
      </c>
      <c r="F132" s="214">
        <v>44.2</v>
      </c>
      <c r="G132" s="213">
        <v>46.53</v>
      </c>
      <c r="H132" s="214">
        <v>49.94</v>
      </c>
      <c r="I132" s="214">
        <v>43.06</v>
      </c>
      <c r="J132" s="214">
        <v>46.519999999999996</v>
      </c>
      <c r="K132" s="217">
        <v>36.96</v>
      </c>
      <c r="L132" s="214">
        <v>191.78</v>
      </c>
      <c r="M132" s="214">
        <v>200.06</v>
      </c>
      <c r="N132" s="214">
        <v>177.19</v>
      </c>
      <c r="O132" s="214">
        <v>183.95</v>
      </c>
      <c r="P132" s="214">
        <v>172.21</v>
      </c>
      <c r="Q132" s="213">
        <v>77.2</v>
      </c>
      <c r="R132" s="214">
        <v>61</v>
      </c>
      <c r="S132" s="214">
        <v>67.400000000000006</v>
      </c>
      <c r="T132" s="214">
        <v>86.51</v>
      </c>
      <c r="U132" s="217">
        <v>61</v>
      </c>
      <c r="V132" s="214">
        <v>90.6</v>
      </c>
      <c r="W132" s="214">
        <v>50.5</v>
      </c>
      <c r="X132" s="214">
        <v>63.3</v>
      </c>
      <c r="Y132" s="214">
        <v>58.74</v>
      </c>
      <c r="Z132" s="214">
        <v>67.94</v>
      </c>
      <c r="AA132" s="207" t="s">
        <v>386</v>
      </c>
      <c r="AB132" s="208" t="s">
        <v>386</v>
      </c>
      <c r="AC132" s="208" t="s">
        <v>386</v>
      </c>
      <c r="AD132" s="208" t="s">
        <v>386</v>
      </c>
      <c r="AE132" s="208" t="s">
        <v>386</v>
      </c>
      <c r="AF132" s="362" t="s">
        <v>386</v>
      </c>
      <c r="AG132" s="363" t="s">
        <v>386</v>
      </c>
      <c r="AH132" s="363" t="s">
        <v>386</v>
      </c>
      <c r="AI132" s="363" t="s">
        <v>386</v>
      </c>
      <c r="AJ132" s="364" t="s">
        <v>386</v>
      </c>
      <c r="AK132" s="208" t="s">
        <v>386</v>
      </c>
      <c r="AL132" s="208" t="s">
        <v>386</v>
      </c>
      <c r="AM132" s="208" t="s">
        <v>386</v>
      </c>
      <c r="AN132" s="208" t="s">
        <v>386</v>
      </c>
      <c r="AO132" s="208" t="s">
        <v>386</v>
      </c>
      <c r="AP132" s="213">
        <v>1968.44</v>
      </c>
      <c r="AQ132" s="214">
        <v>2244.16</v>
      </c>
      <c r="AR132" s="214">
        <v>2640.77</v>
      </c>
      <c r="AS132" s="214">
        <v>2589.06</v>
      </c>
      <c r="AT132" s="217">
        <v>1868.66</v>
      </c>
      <c r="AU132" s="208" t="s">
        <v>386</v>
      </c>
      <c r="AV132" s="208" t="s">
        <v>386</v>
      </c>
      <c r="AW132" s="208" t="s">
        <v>386</v>
      </c>
      <c r="AX132" s="208" t="s">
        <v>386</v>
      </c>
      <c r="AY132" s="208" t="s">
        <v>386</v>
      </c>
      <c r="AZ132" s="207" t="s">
        <v>386</v>
      </c>
      <c r="BA132" s="208" t="s">
        <v>386</v>
      </c>
      <c r="BB132" s="208" t="s">
        <v>386</v>
      </c>
      <c r="BC132" s="208" t="s">
        <v>386</v>
      </c>
      <c r="BD132" s="209" t="s">
        <v>386</v>
      </c>
      <c r="BE132" s="208" t="s">
        <v>386</v>
      </c>
      <c r="BF132" s="208" t="s">
        <v>386</v>
      </c>
      <c r="BG132" s="208" t="s">
        <v>386</v>
      </c>
      <c r="BH132" s="208" t="s">
        <v>386</v>
      </c>
      <c r="BI132" s="208" t="s">
        <v>386</v>
      </c>
      <c r="BJ132" s="207" t="s">
        <v>386</v>
      </c>
      <c r="BK132" s="208" t="s">
        <v>386</v>
      </c>
      <c r="BL132" s="208" t="s">
        <v>386</v>
      </c>
      <c r="BM132" s="208" t="s">
        <v>386</v>
      </c>
      <c r="BN132" s="209" t="s">
        <v>386</v>
      </c>
      <c r="BO132" s="208" t="s">
        <v>386</v>
      </c>
      <c r="BP132" s="208" t="s">
        <v>386</v>
      </c>
      <c r="BQ132" s="208" t="s">
        <v>386</v>
      </c>
      <c r="BR132" s="208" t="s">
        <v>386</v>
      </c>
      <c r="BS132" s="209" t="s">
        <v>386</v>
      </c>
      <c r="BT132" s="208" t="s">
        <v>386</v>
      </c>
      <c r="BU132" s="208" t="s">
        <v>386</v>
      </c>
      <c r="BV132" s="208" t="s">
        <v>386</v>
      </c>
      <c r="BW132" s="208" t="s">
        <v>386</v>
      </c>
      <c r="BX132" s="209" t="s">
        <v>386</v>
      </c>
      <c r="BY132" s="208" t="s">
        <v>386</v>
      </c>
      <c r="BZ132" s="208" t="s">
        <v>386</v>
      </c>
      <c r="CA132" s="208" t="s">
        <v>386</v>
      </c>
      <c r="CB132" s="208" t="s">
        <v>386</v>
      </c>
      <c r="CC132" s="208" t="s">
        <v>386</v>
      </c>
      <c r="CD132" s="207" t="s">
        <v>386</v>
      </c>
      <c r="CE132" s="208" t="s">
        <v>386</v>
      </c>
      <c r="CF132" s="208" t="s">
        <v>386</v>
      </c>
      <c r="CG132" s="208" t="s">
        <v>386</v>
      </c>
      <c r="CH132" s="209" t="s">
        <v>386</v>
      </c>
    </row>
    <row r="133" spans="1:86" x14ac:dyDescent="0.25">
      <c r="A133" s="107" t="s">
        <v>160</v>
      </c>
      <c r="B133" s="213">
        <v>42.2</v>
      </c>
      <c r="C133" s="214">
        <v>47.1</v>
      </c>
      <c r="D133" s="214">
        <v>58</v>
      </c>
      <c r="E133" s="214">
        <v>68.56</v>
      </c>
      <c r="F133" s="214">
        <v>27.22</v>
      </c>
      <c r="G133" s="213">
        <v>64.36999999999999</v>
      </c>
      <c r="H133" s="214">
        <v>66.489999999999995</v>
      </c>
      <c r="I133" s="214">
        <v>64.19</v>
      </c>
      <c r="J133" s="214">
        <v>57.489999999999995</v>
      </c>
      <c r="K133" s="217">
        <v>57.19</v>
      </c>
      <c r="L133" s="214">
        <v>223.75</v>
      </c>
      <c r="M133" s="214">
        <v>229.17000000000002</v>
      </c>
      <c r="N133" s="214">
        <v>222.65</v>
      </c>
      <c r="O133" s="214">
        <v>200.07</v>
      </c>
      <c r="P133" s="214">
        <v>208.92999999999998</v>
      </c>
      <c r="Q133" s="213">
        <v>51.3</v>
      </c>
      <c r="R133" s="214">
        <v>62.7</v>
      </c>
      <c r="S133" s="214">
        <v>74.56</v>
      </c>
      <c r="T133" s="214">
        <v>87.53</v>
      </c>
      <c r="U133" s="217">
        <v>86.330000000000013</v>
      </c>
      <c r="V133" s="214">
        <v>75.11</v>
      </c>
      <c r="W133" s="214">
        <v>87.95</v>
      </c>
      <c r="X133" s="214">
        <v>83</v>
      </c>
      <c r="Y133" s="214">
        <v>95.31</v>
      </c>
      <c r="Z133" s="214">
        <v>90.33</v>
      </c>
      <c r="AA133" s="213" t="s">
        <v>386</v>
      </c>
      <c r="AB133" s="214" t="s">
        <v>386</v>
      </c>
      <c r="AC133" s="214" t="s">
        <v>386</v>
      </c>
      <c r="AD133" s="214" t="s">
        <v>386</v>
      </c>
      <c r="AE133" s="214" t="s">
        <v>386</v>
      </c>
      <c r="AF133" s="362" t="s">
        <v>386</v>
      </c>
      <c r="AG133" s="363" t="s">
        <v>386</v>
      </c>
      <c r="AH133" s="363" t="s">
        <v>386</v>
      </c>
      <c r="AI133" s="363" t="s">
        <v>386</v>
      </c>
      <c r="AJ133" s="364" t="s">
        <v>386</v>
      </c>
      <c r="AK133" s="208" t="s">
        <v>386</v>
      </c>
      <c r="AL133" s="208" t="s">
        <v>386</v>
      </c>
      <c r="AM133" s="208" t="s">
        <v>386</v>
      </c>
      <c r="AN133" s="208" t="s">
        <v>386</v>
      </c>
      <c r="AO133" s="208" t="s">
        <v>386</v>
      </c>
      <c r="AP133" s="213" t="s">
        <v>386</v>
      </c>
      <c r="AQ133" s="214" t="s">
        <v>386</v>
      </c>
      <c r="AR133" s="214" t="s">
        <v>386</v>
      </c>
      <c r="AS133" s="214" t="s">
        <v>386</v>
      </c>
      <c r="AT133" s="217" t="s">
        <v>386</v>
      </c>
      <c r="AU133" s="208" t="s">
        <v>386</v>
      </c>
      <c r="AV133" s="208" t="s">
        <v>386</v>
      </c>
      <c r="AW133" s="208" t="s">
        <v>386</v>
      </c>
      <c r="AX133" s="208" t="s">
        <v>386</v>
      </c>
      <c r="AY133" s="208" t="s">
        <v>386</v>
      </c>
      <c r="AZ133" s="207" t="s">
        <v>386</v>
      </c>
      <c r="BA133" s="208" t="s">
        <v>386</v>
      </c>
      <c r="BB133" s="208" t="s">
        <v>386</v>
      </c>
      <c r="BC133" s="208" t="s">
        <v>386</v>
      </c>
      <c r="BD133" s="209" t="s">
        <v>386</v>
      </c>
      <c r="BE133" s="208" t="s">
        <v>386</v>
      </c>
      <c r="BF133" s="208" t="s">
        <v>386</v>
      </c>
      <c r="BG133" s="208" t="s">
        <v>386</v>
      </c>
      <c r="BH133" s="208" t="s">
        <v>386</v>
      </c>
      <c r="BI133" s="208" t="s">
        <v>386</v>
      </c>
      <c r="BJ133" s="207" t="s">
        <v>386</v>
      </c>
      <c r="BK133" s="208" t="s">
        <v>386</v>
      </c>
      <c r="BL133" s="208" t="s">
        <v>386</v>
      </c>
      <c r="BM133" s="208" t="s">
        <v>386</v>
      </c>
      <c r="BN133" s="209" t="s">
        <v>386</v>
      </c>
      <c r="BO133" s="208" t="s">
        <v>386</v>
      </c>
      <c r="BP133" s="208" t="s">
        <v>386</v>
      </c>
      <c r="BQ133" s="208" t="s">
        <v>386</v>
      </c>
      <c r="BR133" s="208" t="s">
        <v>386</v>
      </c>
      <c r="BS133" s="209" t="s">
        <v>386</v>
      </c>
      <c r="BT133" s="208" t="s">
        <v>386</v>
      </c>
      <c r="BU133" s="208" t="s">
        <v>386</v>
      </c>
      <c r="BV133" s="208" t="s">
        <v>386</v>
      </c>
      <c r="BW133" s="208" t="s">
        <v>386</v>
      </c>
      <c r="BX133" s="209" t="s">
        <v>386</v>
      </c>
      <c r="BY133" s="208" t="s">
        <v>386</v>
      </c>
      <c r="BZ133" s="208" t="s">
        <v>386</v>
      </c>
      <c r="CA133" s="208" t="s">
        <v>386</v>
      </c>
      <c r="CB133" s="208" t="s">
        <v>386</v>
      </c>
      <c r="CC133" s="208" t="s">
        <v>386</v>
      </c>
      <c r="CD133" s="207" t="s">
        <v>386</v>
      </c>
      <c r="CE133" s="208" t="s">
        <v>386</v>
      </c>
      <c r="CF133" s="208" t="s">
        <v>386</v>
      </c>
      <c r="CG133" s="208" t="s">
        <v>386</v>
      </c>
      <c r="CH133" s="209" t="s">
        <v>386</v>
      </c>
    </row>
    <row r="134" spans="1:86" x14ac:dyDescent="0.25">
      <c r="A134" s="107" t="s">
        <v>161</v>
      </c>
      <c r="B134" s="213">
        <v>54.6</v>
      </c>
      <c r="C134" s="214">
        <v>40.799999999999997</v>
      </c>
      <c r="D134" s="214">
        <v>51.03</v>
      </c>
      <c r="E134" s="214">
        <v>48</v>
      </c>
      <c r="F134" s="214">
        <v>45.6</v>
      </c>
      <c r="G134" s="213">
        <v>36.71</v>
      </c>
      <c r="H134" s="214">
        <v>20.45</v>
      </c>
      <c r="I134" s="214">
        <v>25.84</v>
      </c>
      <c r="J134" s="214">
        <v>19.95</v>
      </c>
      <c r="K134" s="217">
        <v>30.31</v>
      </c>
      <c r="L134" s="214">
        <v>141.22</v>
      </c>
      <c r="M134" s="214">
        <v>85.95</v>
      </c>
      <c r="N134" s="214">
        <v>110.26</v>
      </c>
      <c r="O134" s="214">
        <v>79.25</v>
      </c>
      <c r="P134" s="214">
        <v>129.22</v>
      </c>
      <c r="Q134" s="213">
        <v>62.379999999999995</v>
      </c>
      <c r="R134" s="214">
        <v>63.15</v>
      </c>
      <c r="S134" s="214">
        <v>68.319999999999993</v>
      </c>
      <c r="T134" s="214">
        <v>87.800000000000011</v>
      </c>
      <c r="U134" s="217">
        <v>86.51</v>
      </c>
      <c r="V134" s="214">
        <v>42.15</v>
      </c>
      <c r="W134" s="214">
        <v>50.5</v>
      </c>
      <c r="X134" s="214">
        <v>41.6</v>
      </c>
      <c r="Y134" s="214">
        <v>40.799999999999997</v>
      </c>
      <c r="Z134" s="214">
        <v>66.38</v>
      </c>
      <c r="AA134" s="207" t="s">
        <v>386</v>
      </c>
      <c r="AB134" s="208" t="s">
        <v>386</v>
      </c>
      <c r="AC134" s="208" t="s">
        <v>386</v>
      </c>
      <c r="AD134" s="208" t="s">
        <v>386</v>
      </c>
      <c r="AE134" s="208" t="s">
        <v>386</v>
      </c>
      <c r="AF134" s="362" t="s">
        <v>386</v>
      </c>
      <c r="AG134" s="363" t="s">
        <v>386</v>
      </c>
      <c r="AH134" s="363" t="s">
        <v>386</v>
      </c>
      <c r="AI134" s="363" t="s">
        <v>386</v>
      </c>
      <c r="AJ134" s="364" t="s">
        <v>386</v>
      </c>
      <c r="AK134" s="208" t="s">
        <v>386</v>
      </c>
      <c r="AL134" s="208" t="s">
        <v>386</v>
      </c>
      <c r="AM134" s="208" t="s">
        <v>386</v>
      </c>
      <c r="AN134" s="208" t="s">
        <v>386</v>
      </c>
      <c r="AO134" s="208" t="s">
        <v>386</v>
      </c>
      <c r="AP134" s="213">
        <v>2217</v>
      </c>
      <c r="AQ134" s="214">
        <v>966.4</v>
      </c>
      <c r="AR134" s="214">
        <v>1155.1500000000001</v>
      </c>
      <c r="AS134" s="214">
        <v>1038.4000000000001</v>
      </c>
      <c r="AT134" s="217">
        <v>1845.18</v>
      </c>
      <c r="AU134" s="208">
        <v>2398</v>
      </c>
      <c r="AV134" s="208">
        <v>1039</v>
      </c>
      <c r="AW134" s="208">
        <v>2058.5</v>
      </c>
      <c r="AX134" s="208">
        <v>2300</v>
      </c>
      <c r="AY134" s="208">
        <v>2431</v>
      </c>
      <c r="AZ134" s="207" t="s">
        <v>386</v>
      </c>
      <c r="BA134" s="208" t="s">
        <v>386</v>
      </c>
      <c r="BB134" s="208" t="s">
        <v>386</v>
      </c>
      <c r="BC134" s="208" t="s">
        <v>386</v>
      </c>
      <c r="BD134" s="209" t="s">
        <v>386</v>
      </c>
      <c r="BE134" s="208" t="s">
        <v>386</v>
      </c>
      <c r="BF134" s="208" t="s">
        <v>386</v>
      </c>
      <c r="BG134" s="208" t="s">
        <v>386</v>
      </c>
      <c r="BH134" s="208" t="s">
        <v>386</v>
      </c>
      <c r="BI134" s="208" t="s">
        <v>386</v>
      </c>
      <c r="BJ134" s="207" t="s">
        <v>386</v>
      </c>
      <c r="BK134" s="208" t="s">
        <v>386</v>
      </c>
      <c r="BL134" s="208" t="s">
        <v>386</v>
      </c>
      <c r="BM134" s="208" t="s">
        <v>386</v>
      </c>
      <c r="BN134" s="209" t="s">
        <v>386</v>
      </c>
      <c r="BO134" s="208" t="s">
        <v>386</v>
      </c>
      <c r="BP134" s="208" t="s">
        <v>386</v>
      </c>
      <c r="BQ134" s="208" t="s">
        <v>386</v>
      </c>
      <c r="BR134" s="208" t="s">
        <v>386</v>
      </c>
      <c r="BS134" s="209" t="s">
        <v>386</v>
      </c>
      <c r="BT134" s="208" t="s">
        <v>386</v>
      </c>
      <c r="BU134" s="208" t="s">
        <v>386</v>
      </c>
      <c r="BV134" s="208" t="s">
        <v>386</v>
      </c>
      <c r="BW134" s="208" t="s">
        <v>386</v>
      </c>
      <c r="BX134" s="209" t="s">
        <v>386</v>
      </c>
      <c r="BY134" s="208" t="s">
        <v>386</v>
      </c>
      <c r="BZ134" s="208" t="s">
        <v>386</v>
      </c>
      <c r="CA134" s="208" t="s">
        <v>386</v>
      </c>
      <c r="CB134" s="208" t="s">
        <v>386</v>
      </c>
      <c r="CC134" s="208" t="s">
        <v>386</v>
      </c>
      <c r="CD134" s="207" t="s">
        <v>386</v>
      </c>
      <c r="CE134" s="208" t="s">
        <v>386</v>
      </c>
      <c r="CF134" s="208" t="s">
        <v>386</v>
      </c>
      <c r="CG134" s="208" t="s">
        <v>386</v>
      </c>
      <c r="CH134" s="209" t="s">
        <v>386</v>
      </c>
    </row>
    <row r="135" spans="1:86" x14ac:dyDescent="0.25">
      <c r="A135" s="107" t="s">
        <v>162</v>
      </c>
      <c r="B135" s="213">
        <v>46.8</v>
      </c>
      <c r="C135" s="214">
        <v>47.1</v>
      </c>
      <c r="D135" s="214">
        <v>49.3</v>
      </c>
      <c r="E135" s="214">
        <v>68.56</v>
      </c>
      <c r="F135" s="214">
        <v>41.51</v>
      </c>
      <c r="G135" s="213">
        <v>68.95</v>
      </c>
      <c r="H135" s="214">
        <v>70.210000000000008</v>
      </c>
      <c r="I135" s="214">
        <v>67.599999999999994</v>
      </c>
      <c r="J135" s="214">
        <v>63</v>
      </c>
      <c r="K135" s="217">
        <v>50.089999999999996</v>
      </c>
      <c r="L135" s="214">
        <v>225.41</v>
      </c>
      <c r="M135" s="214">
        <v>229.86</v>
      </c>
      <c r="N135" s="214">
        <v>233.48999999999998</v>
      </c>
      <c r="O135" s="214">
        <v>213.23</v>
      </c>
      <c r="P135" s="214">
        <v>162.5</v>
      </c>
      <c r="Q135" s="213">
        <v>55</v>
      </c>
      <c r="R135" s="214">
        <v>61</v>
      </c>
      <c r="S135" s="214">
        <v>73.2</v>
      </c>
      <c r="T135" s="214">
        <v>86.51</v>
      </c>
      <c r="U135" s="217">
        <v>85.65</v>
      </c>
      <c r="V135" s="214">
        <v>65.81</v>
      </c>
      <c r="W135" s="214">
        <v>56.8</v>
      </c>
      <c r="X135" s="214">
        <v>89.5</v>
      </c>
      <c r="Y135" s="214">
        <v>85</v>
      </c>
      <c r="Z135" s="214">
        <v>63.21</v>
      </c>
      <c r="AA135" s="207" t="s">
        <v>386</v>
      </c>
      <c r="AB135" s="208" t="s">
        <v>386</v>
      </c>
      <c r="AC135" s="208" t="s">
        <v>386</v>
      </c>
      <c r="AD135" s="208" t="s">
        <v>386</v>
      </c>
      <c r="AE135" s="208" t="s">
        <v>386</v>
      </c>
      <c r="AF135" s="362" t="s">
        <v>386</v>
      </c>
      <c r="AG135" s="363" t="s">
        <v>386</v>
      </c>
      <c r="AH135" s="363" t="s">
        <v>386</v>
      </c>
      <c r="AI135" s="363" t="s">
        <v>386</v>
      </c>
      <c r="AJ135" s="364" t="s">
        <v>386</v>
      </c>
      <c r="AK135" s="208" t="s">
        <v>386</v>
      </c>
      <c r="AL135" s="208" t="s">
        <v>386</v>
      </c>
      <c r="AM135" s="208" t="s">
        <v>386</v>
      </c>
      <c r="AN135" s="208" t="s">
        <v>386</v>
      </c>
      <c r="AO135" s="208" t="s">
        <v>386</v>
      </c>
      <c r="AP135" s="207" t="s">
        <v>386</v>
      </c>
      <c r="AQ135" s="208" t="s">
        <v>386</v>
      </c>
      <c r="AR135" s="208" t="s">
        <v>386</v>
      </c>
      <c r="AS135" s="208" t="s">
        <v>386</v>
      </c>
      <c r="AT135" s="209" t="s">
        <v>386</v>
      </c>
      <c r="AU135" s="208" t="s">
        <v>386</v>
      </c>
      <c r="AV135" s="208" t="s">
        <v>386</v>
      </c>
      <c r="AW135" s="208" t="s">
        <v>386</v>
      </c>
      <c r="AX135" s="208" t="s">
        <v>386</v>
      </c>
      <c r="AY135" s="208" t="s">
        <v>386</v>
      </c>
      <c r="AZ135" s="207" t="s">
        <v>386</v>
      </c>
      <c r="BA135" s="208" t="s">
        <v>386</v>
      </c>
      <c r="BB135" s="208" t="s">
        <v>386</v>
      </c>
      <c r="BC135" s="208" t="s">
        <v>386</v>
      </c>
      <c r="BD135" s="209" t="s">
        <v>386</v>
      </c>
      <c r="BE135" s="208" t="s">
        <v>386</v>
      </c>
      <c r="BF135" s="208" t="s">
        <v>386</v>
      </c>
      <c r="BG135" s="208" t="s">
        <v>386</v>
      </c>
      <c r="BH135" s="208" t="s">
        <v>386</v>
      </c>
      <c r="BI135" s="208" t="s">
        <v>386</v>
      </c>
      <c r="BJ135" s="207" t="s">
        <v>386</v>
      </c>
      <c r="BK135" s="208" t="s">
        <v>386</v>
      </c>
      <c r="BL135" s="208" t="s">
        <v>386</v>
      </c>
      <c r="BM135" s="208" t="s">
        <v>386</v>
      </c>
      <c r="BN135" s="209" t="s">
        <v>386</v>
      </c>
      <c r="BO135" s="208" t="s">
        <v>386</v>
      </c>
      <c r="BP135" s="208" t="s">
        <v>386</v>
      </c>
      <c r="BQ135" s="208" t="s">
        <v>386</v>
      </c>
      <c r="BR135" s="208" t="s">
        <v>386</v>
      </c>
      <c r="BS135" s="209" t="s">
        <v>386</v>
      </c>
      <c r="BT135" s="208" t="s">
        <v>386</v>
      </c>
      <c r="BU135" s="208" t="s">
        <v>386</v>
      </c>
      <c r="BV135" s="208" t="s">
        <v>386</v>
      </c>
      <c r="BW135" s="208" t="s">
        <v>386</v>
      </c>
      <c r="BX135" s="209" t="s">
        <v>386</v>
      </c>
      <c r="BY135" s="208" t="s">
        <v>386</v>
      </c>
      <c r="BZ135" s="208" t="s">
        <v>386</v>
      </c>
      <c r="CA135" s="208" t="s">
        <v>386</v>
      </c>
      <c r="CB135" s="208" t="s">
        <v>386</v>
      </c>
      <c r="CC135" s="208" t="s">
        <v>386</v>
      </c>
      <c r="CD135" s="207" t="s">
        <v>386</v>
      </c>
      <c r="CE135" s="208" t="s">
        <v>386</v>
      </c>
      <c r="CF135" s="208" t="s">
        <v>386</v>
      </c>
      <c r="CG135" s="208" t="s">
        <v>386</v>
      </c>
      <c r="CH135" s="209" t="s">
        <v>386</v>
      </c>
    </row>
    <row r="136" spans="1:86" x14ac:dyDescent="0.25">
      <c r="A136" s="107" t="s">
        <v>163</v>
      </c>
      <c r="B136" s="213">
        <v>40.9</v>
      </c>
      <c r="C136" s="214">
        <v>47.1</v>
      </c>
      <c r="D136" s="214">
        <v>47.6</v>
      </c>
      <c r="E136" s="214">
        <v>68.56</v>
      </c>
      <c r="F136" s="214">
        <v>69.959999999999994</v>
      </c>
      <c r="G136" s="213">
        <v>58.17</v>
      </c>
      <c r="H136" s="214">
        <v>52.18</v>
      </c>
      <c r="I136" s="214">
        <v>50.279999999999994</v>
      </c>
      <c r="J136" s="214">
        <v>49.7</v>
      </c>
      <c r="K136" s="217">
        <v>181.28</v>
      </c>
      <c r="L136" s="214">
        <v>217.31</v>
      </c>
      <c r="M136" s="214">
        <v>161.71</v>
      </c>
      <c r="N136" s="214">
        <v>175.32999999999998</v>
      </c>
      <c r="O136" s="214">
        <v>190.82</v>
      </c>
      <c r="P136" s="214">
        <v>201.97</v>
      </c>
      <c r="Q136" s="213">
        <v>55</v>
      </c>
      <c r="R136" s="214">
        <v>61</v>
      </c>
      <c r="S136" s="214">
        <v>73.2</v>
      </c>
      <c r="T136" s="214">
        <v>86.51</v>
      </c>
      <c r="U136" s="217">
        <v>85.65</v>
      </c>
      <c r="V136" s="214">
        <v>51.55</v>
      </c>
      <c r="W136" s="214">
        <v>50.5</v>
      </c>
      <c r="X136" s="214">
        <v>58.3</v>
      </c>
      <c r="Y136" s="214">
        <v>39.200000000000003</v>
      </c>
      <c r="Z136" s="214">
        <v>62.81</v>
      </c>
      <c r="AA136" s="207" t="s">
        <v>386</v>
      </c>
      <c r="AB136" s="208" t="s">
        <v>386</v>
      </c>
      <c r="AC136" s="208" t="s">
        <v>386</v>
      </c>
      <c r="AD136" s="208" t="s">
        <v>386</v>
      </c>
      <c r="AE136" s="208" t="s">
        <v>386</v>
      </c>
      <c r="AF136" s="229">
        <v>71</v>
      </c>
      <c r="AG136" s="220">
        <v>94</v>
      </c>
      <c r="AH136" s="220">
        <v>81.83</v>
      </c>
      <c r="AI136" s="220">
        <v>88.21</v>
      </c>
      <c r="AJ136" s="224">
        <v>79.52</v>
      </c>
      <c r="AK136" s="208" t="s">
        <v>386</v>
      </c>
      <c r="AL136" s="208" t="s">
        <v>386</v>
      </c>
      <c r="AM136" s="208" t="s">
        <v>386</v>
      </c>
      <c r="AN136" s="208" t="s">
        <v>386</v>
      </c>
      <c r="AO136" s="208" t="s">
        <v>386</v>
      </c>
      <c r="AP136" s="213">
        <v>1697</v>
      </c>
      <c r="AQ136" s="214">
        <v>2185.46</v>
      </c>
      <c r="AR136" s="214">
        <v>2593.81</v>
      </c>
      <c r="AS136" s="214">
        <v>2553.84</v>
      </c>
      <c r="AT136" s="217">
        <v>1845.18</v>
      </c>
      <c r="AU136" s="208" t="s">
        <v>386</v>
      </c>
      <c r="AV136" s="208" t="s">
        <v>386</v>
      </c>
      <c r="AW136" s="208" t="s">
        <v>386</v>
      </c>
      <c r="AX136" s="208" t="s">
        <v>386</v>
      </c>
      <c r="AY136" s="208" t="s">
        <v>386</v>
      </c>
      <c r="AZ136" s="207" t="s">
        <v>386</v>
      </c>
      <c r="BA136" s="208" t="s">
        <v>386</v>
      </c>
      <c r="BB136" s="208" t="s">
        <v>386</v>
      </c>
      <c r="BC136" s="208" t="s">
        <v>386</v>
      </c>
      <c r="BD136" s="209" t="s">
        <v>386</v>
      </c>
      <c r="BE136" s="208" t="s">
        <v>386</v>
      </c>
      <c r="BF136" s="208" t="s">
        <v>386</v>
      </c>
      <c r="BG136" s="208" t="s">
        <v>386</v>
      </c>
      <c r="BH136" s="208" t="s">
        <v>386</v>
      </c>
      <c r="BI136" s="208" t="s">
        <v>386</v>
      </c>
      <c r="BJ136" s="207" t="s">
        <v>386</v>
      </c>
      <c r="BK136" s="208" t="s">
        <v>386</v>
      </c>
      <c r="BL136" s="208" t="s">
        <v>386</v>
      </c>
      <c r="BM136" s="208" t="s">
        <v>386</v>
      </c>
      <c r="BN136" s="209" t="s">
        <v>386</v>
      </c>
      <c r="BO136" s="208" t="s">
        <v>386</v>
      </c>
      <c r="BP136" s="208" t="s">
        <v>386</v>
      </c>
      <c r="BQ136" s="208" t="s">
        <v>386</v>
      </c>
      <c r="BR136" s="208" t="s">
        <v>386</v>
      </c>
      <c r="BS136" s="209" t="s">
        <v>386</v>
      </c>
      <c r="BT136" s="208" t="s">
        <v>386</v>
      </c>
      <c r="BU136" s="208" t="s">
        <v>386</v>
      </c>
      <c r="BV136" s="208" t="s">
        <v>386</v>
      </c>
      <c r="BW136" s="208" t="s">
        <v>386</v>
      </c>
      <c r="BX136" s="209" t="s">
        <v>386</v>
      </c>
      <c r="BY136" s="208" t="s">
        <v>386</v>
      </c>
      <c r="BZ136" s="208" t="s">
        <v>386</v>
      </c>
      <c r="CA136" s="208" t="s">
        <v>386</v>
      </c>
      <c r="CB136" s="208" t="s">
        <v>386</v>
      </c>
      <c r="CC136" s="208" t="s">
        <v>386</v>
      </c>
      <c r="CD136" s="207" t="s">
        <v>386</v>
      </c>
      <c r="CE136" s="208" t="s">
        <v>386</v>
      </c>
      <c r="CF136" s="208" t="s">
        <v>386</v>
      </c>
      <c r="CG136" s="208" t="s">
        <v>386</v>
      </c>
      <c r="CH136" s="209" t="s">
        <v>386</v>
      </c>
    </row>
    <row r="137" spans="1:86" x14ac:dyDescent="0.25">
      <c r="A137" s="107" t="s">
        <v>164</v>
      </c>
      <c r="B137" s="213">
        <v>42.63</v>
      </c>
      <c r="C137" s="214">
        <v>47.1</v>
      </c>
      <c r="D137" s="214">
        <v>39.909999999999997</v>
      </c>
      <c r="E137" s="214">
        <v>43.1</v>
      </c>
      <c r="F137" s="214">
        <v>34.36</v>
      </c>
      <c r="G137" s="213">
        <v>67.7</v>
      </c>
      <c r="H137" s="214">
        <v>66.27</v>
      </c>
      <c r="I137" s="214">
        <v>62.78</v>
      </c>
      <c r="J137" s="214">
        <v>60.57</v>
      </c>
      <c r="K137" s="217">
        <v>52.230000000000004</v>
      </c>
      <c r="L137" s="214">
        <v>228.16</v>
      </c>
      <c r="M137" s="214">
        <v>228.1</v>
      </c>
      <c r="N137" s="214">
        <v>225.99</v>
      </c>
      <c r="O137" s="214">
        <v>208.65</v>
      </c>
      <c r="P137" s="214">
        <v>180.47</v>
      </c>
      <c r="Q137" s="207">
        <v>55</v>
      </c>
      <c r="R137" s="208">
        <v>61</v>
      </c>
      <c r="S137" s="208">
        <v>73.2</v>
      </c>
      <c r="T137" s="208">
        <v>86.51</v>
      </c>
      <c r="U137" s="209">
        <v>85.65</v>
      </c>
      <c r="V137" s="214">
        <v>64.22</v>
      </c>
      <c r="W137" s="214">
        <v>62.4</v>
      </c>
      <c r="X137" s="214">
        <v>83.9</v>
      </c>
      <c r="Y137" s="214">
        <v>83.18</v>
      </c>
      <c r="Z137" s="214">
        <v>78</v>
      </c>
      <c r="AA137" s="207" t="s">
        <v>386</v>
      </c>
      <c r="AB137" s="208" t="s">
        <v>386</v>
      </c>
      <c r="AC137" s="208" t="s">
        <v>386</v>
      </c>
      <c r="AD137" s="208" t="s">
        <v>386</v>
      </c>
      <c r="AE137" s="208" t="s">
        <v>386</v>
      </c>
      <c r="AF137" s="229">
        <v>71</v>
      </c>
      <c r="AG137" s="220">
        <v>94</v>
      </c>
      <c r="AH137" s="220">
        <v>81.83</v>
      </c>
      <c r="AI137" s="220">
        <v>88.21</v>
      </c>
      <c r="AJ137" s="224">
        <v>79.52</v>
      </c>
      <c r="AK137" s="208" t="s">
        <v>386</v>
      </c>
      <c r="AL137" s="208" t="s">
        <v>386</v>
      </c>
      <c r="AM137" s="208" t="s">
        <v>386</v>
      </c>
      <c r="AN137" s="208" t="s">
        <v>386</v>
      </c>
      <c r="AO137" s="208" t="s">
        <v>386</v>
      </c>
      <c r="AP137" s="207" t="s">
        <v>386</v>
      </c>
      <c r="AQ137" s="208" t="s">
        <v>386</v>
      </c>
      <c r="AR137" s="208" t="s">
        <v>386</v>
      </c>
      <c r="AS137" s="208" t="s">
        <v>386</v>
      </c>
      <c r="AT137" s="209" t="s">
        <v>386</v>
      </c>
      <c r="AU137" s="208" t="s">
        <v>386</v>
      </c>
      <c r="AV137" s="208" t="s">
        <v>386</v>
      </c>
      <c r="AW137" s="208" t="s">
        <v>386</v>
      </c>
      <c r="AX137" s="208" t="s">
        <v>386</v>
      </c>
      <c r="AY137" s="208" t="s">
        <v>386</v>
      </c>
      <c r="AZ137" s="207" t="s">
        <v>386</v>
      </c>
      <c r="BA137" s="208" t="s">
        <v>386</v>
      </c>
      <c r="BB137" s="208" t="s">
        <v>386</v>
      </c>
      <c r="BC137" s="208" t="s">
        <v>386</v>
      </c>
      <c r="BD137" s="209" t="s">
        <v>386</v>
      </c>
      <c r="BE137" s="208" t="s">
        <v>386</v>
      </c>
      <c r="BF137" s="208" t="s">
        <v>386</v>
      </c>
      <c r="BG137" s="208" t="s">
        <v>386</v>
      </c>
      <c r="BH137" s="208" t="s">
        <v>386</v>
      </c>
      <c r="BI137" s="208" t="s">
        <v>386</v>
      </c>
      <c r="BJ137" s="207" t="s">
        <v>386</v>
      </c>
      <c r="BK137" s="208" t="s">
        <v>386</v>
      </c>
      <c r="BL137" s="208" t="s">
        <v>386</v>
      </c>
      <c r="BM137" s="208" t="s">
        <v>386</v>
      </c>
      <c r="BN137" s="209" t="s">
        <v>386</v>
      </c>
      <c r="BO137" s="208" t="s">
        <v>386</v>
      </c>
      <c r="BP137" s="208" t="s">
        <v>386</v>
      </c>
      <c r="BQ137" s="208" t="s">
        <v>386</v>
      </c>
      <c r="BR137" s="208" t="s">
        <v>386</v>
      </c>
      <c r="BS137" s="209" t="s">
        <v>386</v>
      </c>
      <c r="BT137" s="208" t="s">
        <v>386</v>
      </c>
      <c r="BU137" s="208" t="s">
        <v>386</v>
      </c>
      <c r="BV137" s="208" t="s">
        <v>386</v>
      </c>
      <c r="BW137" s="208" t="s">
        <v>386</v>
      </c>
      <c r="BX137" s="209" t="s">
        <v>386</v>
      </c>
      <c r="BY137" s="208" t="s">
        <v>386</v>
      </c>
      <c r="BZ137" s="208" t="s">
        <v>386</v>
      </c>
      <c r="CA137" s="208" t="s">
        <v>386</v>
      </c>
      <c r="CB137" s="208" t="s">
        <v>386</v>
      </c>
      <c r="CC137" s="208" t="s">
        <v>386</v>
      </c>
      <c r="CD137" s="207" t="s">
        <v>386</v>
      </c>
      <c r="CE137" s="208" t="s">
        <v>386</v>
      </c>
      <c r="CF137" s="208" t="s">
        <v>386</v>
      </c>
      <c r="CG137" s="208" t="s">
        <v>386</v>
      </c>
      <c r="CH137" s="209" t="s">
        <v>386</v>
      </c>
    </row>
    <row r="138" spans="1:86" x14ac:dyDescent="0.25">
      <c r="A138" s="107" t="s">
        <v>165</v>
      </c>
      <c r="B138" s="213">
        <v>52.08</v>
      </c>
      <c r="C138" s="214">
        <v>45.779999999999994</v>
      </c>
      <c r="D138" s="214">
        <v>51.34</v>
      </c>
      <c r="E138" s="214">
        <v>46.519999999999996</v>
      </c>
      <c r="F138" s="214">
        <v>48.09</v>
      </c>
      <c r="G138" s="213">
        <v>46.04</v>
      </c>
      <c r="H138" s="214">
        <v>33.85</v>
      </c>
      <c r="I138" s="214">
        <v>42.709999999999994</v>
      </c>
      <c r="J138" s="214">
        <v>39.380000000000003</v>
      </c>
      <c r="K138" s="217">
        <v>40.830000000000005</v>
      </c>
      <c r="L138" s="214">
        <v>185.65</v>
      </c>
      <c r="M138" s="214">
        <v>134.05000000000001</v>
      </c>
      <c r="N138" s="214">
        <v>173.75</v>
      </c>
      <c r="O138" s="214">
        <v>158.88999999999999</v>
      </c>
      <c r="P138" s="214">
        <v>176.03</v>
      </c>
      <c r="Q138" s="213">
        <v>57.96</v>
      </c>
      <c r="R138" s="214">
        <v>62.6</v>
      </c>
      <c r="S138" s="214">
        <v>54.08</v>
      </c>
      <c r="T138" s="214">
        <v>58.49</v>
      </c>
      <c r="U138" s="217">
        <v>61.64</v>
      </c>
      <c r="V138" s="214">
        <v>56.36</v>
      </c>
      <c r="W138" s="214">
        <v>43.2</v>
      </c>
      <c r="X138" s="214">
        <v>56.71</v>
      </c>
      <c r="Y138" s="214">
        <v>43.2</v>
      </c>
      <c r="Z138" s="214">
        <v>58.85</v>
      </c>
      <c r="AA138" s="213">
        <v>16.3</v>
      </c>
      <c r="AB138" s="214">
        <v>18.899999999999999</v>
      </c>
      <c r="AC138" s="214">
        <v>31.94</v>
      </c>
      <c r="AD138" s="214">
        <v>20.38</v>
      </c>
      <c r="AE138" s="214">
        <v>25.02</v>
      </c>
      <c r="AF138" s="229">
        <v>71</v>
      </c>
      <c r="AG138" s="220">
        <v>94</v>
      </c>
      <c r="AH138" s="220">
        <v>81.83</v>
      </c>
      <c r="AI138" s="220">
        <v>88.21</v>
      </c>
      <c r="AJ138" s="224">
        <v>79.52</v>
      </c>
      <c r="AK138" s="214" t="s">
        <v>386</v>
      </c>
      <c r="AL138" s="214" t="s">
        <v>386</v>
      </c>
      <c r="AM138" s="214" t="s">
        <v>386</v>
      </c>
      <c r="AN138" s="214" t="s">
        <v>386</v>
      </c>
      <c r="AO138" s="214" t="s">
        <v>386</v>
      </c>
      <c r="AP138" s="213">
        <v>2114.3500000000004</v>
      </c>
      <c r="AQ138" s="214">
        <v>2228.61</v>
      </c>
      <c r="AR138" s="214">
        <v>2635.09</v>
      </c>
      <c r="AS138" s="214">
        <v>2354.54</v>
      </c>
      <c r="AT138" s="217">
        <v>1365.26</v>
      </c>
      <c r="AU138" s="208" t="s">
        <v>386</v>
      </c>
      <c r="AV138" s="208" t="s">
        <v>386</v>
      </c>
      <c r="AW138" s="208" t="s">
        <v>386</v>
      </c>
      <c r="AX138" s="208" t="s">
        <v>386</v>
      </c>
      <c r="AY138" s="208" t="s">
        <v>386</v>
      </c>
      <c r="AZ138" s="207" t="s">
        <v>386</v>
      </c>
      <c r="BA138" s="208" t="s">
        <v>386</v>
      </c>
      <c r="BB138" s="208" t="s">
        <v>386</v>
      </c>
      <c r="BC138" s="208" t="s">
        <v>386</v>
      </c>
      <c r="BD138" s="209" t="s">
        <v>386</v>
      </c>
      <c r="BE138" s="208" t="s">
        <v>386</v>
      </c>
      <c r="BF138" s="208" t="s">
        <v>386</v>
      </c>
      <c r="BG138" s="208" t="s">
        <v>386</v>
      </c>
      <c r="BH138" s="208" t="s">
        <v>386</v>
      </c>
      <c r="BI138" s="208" t="s">
        <v>386</v>
      </c>
      <c r="BJ138" s="207" t="s">
        <v>386</v>
      </c>
      <c r="BK138" s="208" t="s">
        <v>386</v>
      </c>
      <c r="BL138" s="208" t="s">
        <v>386</v>
      </c>
      <c r="BM138" s="208" t="s">
        <v>386</v>
      </c>
      <c r="BN138" s="209" t="s">
        <v>386</v>
      </c>
      <c r="BO138" s="208" t="s">
        <v>386</v>
      </c>
      <c r="BP138" s="208" t="s">
        <v>386</v>
      </c>
      <c r="BQ138" s="208" t="s">
        <v>386</v>
      </c>
      <c r="BR138" s="208" t="s">
        <v>386</v>
      </c>
      <c r="BS138" s="209" t="s">
        <v>386</v>
      </c>
      <c r="BT138" s="208" t="s">
        <v>386</v>
      </c>
      <c r="BU138" s="208" t="s">
        <v>386</v>
      </c>
      <c r="BV138" s="208" t="s">
        <v>386</v>
      </c>
      <c r="BW138" s="208" t="s">
        <v>386</v>
      </c>
      <c r="BX138" s="209" t="s">
        <v>386</v>
      </c>
      <c r="BY138" s="208" t="s">
        <v>386</v>
      </c>
      <c r="BZ138" s="208" t="s">
        <v>386</v>
      </c>
      <c r="CA138" s="208" t="s">
        <v>386</v>
      </c>
      <c r="CB138" s="208" t="s">
        <v>386</v>
      </c>
      <c r="CC138" s="208" t="s">
        <v>386</v>
      </c>
      <c r="CD138" s="207" t="s">
        <v>386</v>
      </c>
      <c r="CE138" s="208" t="s">
        <v>386</v>
      </c>
      <c r="CF138" s="208" t="s">
        <v>386</v>
      </c>
      <c r="CG138" s="208" t="s">
        <v>386</v>
      </c>
      <c r="CH138" s="209" t="s">
        <v>386</v>
      </c>
    </row>
    <row r="139" spans="1:86" x14ac:dyDescent="0.25">
      <c r="A139" s="107" t="s">
        <v>166</v>
      </c>
      <c r="B139" s="213">
        <v>65.260000000000005</v>
      </c>
      <c r="C139" s="214">
        <v>70.8</v>
      </c>
      <c r="D139" s="214">
        <v>75.16</v>
      </c>
      <c r="E139" s="214">
        <v>72.77000000000001</v>
      </c>
      <c r="F139" s="214">
        <v>65.53</v>
      </c>
      <c r="G139" s="213">
        <v>40.520000000000003</v>
      </c>
      <c r="H139" s="214">
        <v>32.75</v>
      </c>
      <c r="I139" s="214">
        <v>42.24</v>
      </c>
      <c r="J139" s="214">
        <v>43.529999999999994</v>
      </c>
      <c r="K139" s="217">
        <v>43.68</v>
      </c>
      <c r="L139" s="214">
        <v>155.88</v>
      </c>
      <c r="M139" s="214">
        <v>126.75</v>
      </c>
      <c r="N139" s="214">
        <v>171.46</v>
      </c>
      <c r="O139" s="214">
        <v>177.01</v>
      </c>
      <c r="P139" s="214">
        <v>181.63</v>
      </c>
      <c r="Q139" s="213">
        <v>65.78</v>
      </c>
      <c r="R139" s="214">
        <v>65.350000000000009</v>
      </c>
      <c r="S139" s="214">
        <v>76.33</v>
      </c>
      <c r="T139" s="214">
        <v>75.960000000000008</v>
      </c>
      <c r="U139" s="217">
        <v>91.25</v>
      </c>
      <c r="V139" s="214">
        <v>84.57</v>
      </c>
      <c r="W139" s="214">
        <v>61.83</v>
      </c>
      <c r="X139" s="214">
        <v>85.94</v>
      </c>
      <c r="Y139" s="214">
        <v>100.98</v>
      </c>
      <c r="Z139" s="214">
        <v>86.29</v>
      </c>
      <c r="AA139" s="207" t="s">
        <v>386</v>
      </c>
      <c r="AB139" s="208" t="s">
        <v>386</v>
      </c>
      <c r="AC139" s="208" t="s">
        <v>386</v>
      </c>
      <c r="AD139" s="208" t="s">
        <v>386</v>
      </c>
      <c r="AE139" s="208" t="s">
        <v>386</v>
      </c>
      <c r="AF139" s="229">
        <v>71</v>
      </c>
      <c r="AG139" s="220">
        <v>94</v>
      </c>
      <c r="AH139" s="220">
        <v>81.83</v>
      </c>
      <c r="AI139" s="220">
        <v>88.21</v>
      </c>
      <c r="AJ139" s="224">
        <v>79.52</v>
      </c>
      <c r="AK139" s="208">
        <v>1411</v>
      </c>
      <c r="AL139" s="208">
        <v>1362</v>
      </c>
      <c r="AM139" s="208">
        <v>2087</v>
      </c>
      <c r="AN139" s="208">
        <v>2614.17</v>
      </c>
      <c r="AO139" s="208">
        <v>1937.1</v>
      </c>
      <c r="AP139" s="213">
        <v>1746.1599999999999</v>
      </c>
      <c r="AQ139" s="214">
        <v>2170.71</v>
      </c>
      <c r="AR139" s="214">
        <v>2559.9</v>
      </c>
      <c r="AS139" s="214">
        <v>2743.94</v>
      </c>
      <c r="AT139" s="217">
        <v>2226.3799999999997</v>
      </c>
      <c r="AU139" s="214">
        <v>2398</v>
      </c>
      <c r="AV139" s="214">
        <v>1520</v>
      </c>
      <c r="AW139" s="214">
        <v>2058.5</v>
      </c>
      <c r="AX139" s="214">
        <v>2300</v>
      </c>
      <c r="AY139" s="214">
        <v>2431</v>
      </c>
      <c r="AZ139" s="207" t="s">
        <v>386</v>
      </c>
      <c r="BA139" s="208" t="s">
        <v>386</v>
      </c>
      <c r="BB139" s="208" t="s">
        <v>386</v>
      </c>
      <c r="BC139" s="208" t="s">
        <v>386</v>
      </c>
      <c r="BD139" s="209" t="s">
        <v>386</v>
      </c>
      <c r="BE139" s="208" t="s">
        <v>386</v>
      </c>
      <c r="BF139" s="208" t="s">
        <v>386</v>
      </c>
      <c r="BG139" s="208" t="s">
        <v>386</v>
      </c>
      <c r="BH139" s="208" t="s">
        <v>386</v>
      </c>
      <c r="BI139" s="208" t="s">
        <v>386</v>
      </c>
      <c r="BJ139" s="207" t="s">
        <v>386</v>
      </c>
      <c r="BK139" s="208" t="s">
        <v>386</v>
      </c>
      <c r="BL139" s="208" t="s">
        <v>386</v>
      </c>
      <c r="BM139" s="208" t="s">
        <v>386</v>
      </c>
      <c r="BN139" s="209" t="s">
        <v>386</v>
      </c>
      <c r="BO139" s="208" t="s">
        <v>386</v>
      </c>
      <c r="BP139" s="208" t="s">
        <v>386</v>
      </c>
      <c r="BQ139" s="208" t="s">
        <v>386</v>
      </c>
      <c r="BR139" s="208" t="s">
        <v>386</v>
      </c>
      <c r="BS139" s="209" t="s">
        <v>386</v>
      </c>
      <c r="BT139" s="208" t="s">
        <v>386</v>
      </c>
      <c r="BU139" s="208" t="s">
        <v>386</v>
      </c>
      <c r="BV139" s="208" t="s">
        <v>386</v>
      </c>
      <c r="BW139" s="208" t="s">
        <v>386</v>
      </c>
      <c r="BX139" s="209" t="s">
        <v>386</v>
      </c>
      <c r="BY139" s="208" t="s">
        <v>386</v>
      </c>
      <c r="BZ139" s="208" t="s">
        <v>386</v>
      </c>
      <c r="CA139" s="208" t="s">
        <v>386</v>
      </c>
      <c r="CB139" s="208" t="s">
        <v>386</v>
      </c>
      <c r="CC139" s="208" t="s">
        <v>386</v>
      </c>
      <c r="CD139" s="213">
        <v>1980</v>
      </c>
      <c r="CE139" s="214">
        <v>1186.4000000000001</v>
      </c>
      <c r="CF139" s="214">
        <v>1720</v>
      </c>
      <c r="CG139" s="214">
        <v>1490</v>
      </c>
      <c r="CH139" s="217">
        <v>1923.72</v>
      </c>
    </row>
    <row r="140" spans="1:86" x14ac:dyDescent="0.25">
      <c r="A140" s="107" t="s">
        <v>167</v>
      </c>
      <c r="B140" s="213">
        <v>58.18</v>
      </c>
      <c r="C140" s="214">
        <v>64.88</v>
      </c>
      <c r="D140" s="214">
        <v>59.39</v>
      </c>
      <c r="E140" s="214">
        <v>54.18</v>
      </c>
      <c r="F140" s="214">
        <v>54.800000000000004</v>
      </c>
      <c r="G140" s="213">
        <v>34.08</v>
      </c>
      <c r="H140" s="214">
        <v>33.85</v>
      </c>
      <c r="I140" s="214">
        <v>40.479999999999997</v>
      </c>
      <c r="J140" s="214">
        <v>37.44</v>
      </c>
      <c r="K140" s="217">
        <v>41.47</v>
      </c>
      <c r="L140" s="214">
        <v>177.49</v>
      </c>
      <c r="M140" s="214">
        <v>177.36</v>
      </c>
      <c r="N140" s="214">
        <v>166.86</v>
      </c>
      <c r="O140" s="214">
        <v>151.99</v>
      </c>
      <c r="P140" s="214">
        <v>179.49</v>
      </c>
      <c r="Q140" s="213">
        <v>67.67</v>
      </c>
      <c r="R140" s="214">
        <v>61</v>
      </c>
      <c r="S140" s="214">
        <v>69.650000000000006</v>
      </c>
      <c r="T140" s="214">
        <v>83.09</v>
      </c>
      <c r="U140" s="217">
        <v>61</v>
      </c>
      <c r="V140" s="214">
        <v>70.7</v>
      </c>
      <c r="W140" s="214">
        <v>50.5</v>
      </c>
      <c r="X140" s="214">
        <v>54</v>
      </c>
      <c r="Y140" s="214">
        <v>68.930000000000007</v>
      </c>
      <c r="Z140" s="214">
        <v>67.94</v>
      </c>
      <c r="AA140" s="207" t="s">
        <v>386</v>
      </c>
      <c r="AB140" s="208" t="s">
        <v>386</v>
      </c>
      <c r="AC140" s="208" t="s">
        <v>386</v>
      </c>
      <c r="AD140" s="208" t="s">
        <v>386</v>
      </c>
      <c r="AE140" s="208" t="s">
        <v>386</v>
      </c>
      <c r="AF140" s="362">
        <v>71</v>
      </c>
      <c r="AG140" s="363">
        <v>94</v>
      </c>
      <c r="AH140" s="363">
        <v>81.83</v>
      </c>
      <c r="AI140" s="363">
        <v>88.21</v>
      </c>
      <c r="AJ140" s="364">
        <v>79.52</v>
      </c>
      <c r="AK140" s="214">
        <v>1411</v>
      </c>
      <c r="AL140" s="214">
        <v>1362</v>
      </c>
      <c r="AM140" s="214">
        <v>2140</v>
      </c>
      <c r="AN140" s="214">
        <v>2614.17</v>
      </c>
      <c r="AO140" s="214">
        <v>1573.15</v>
      </c>
      <c r="AP140" s="213">
        <v>2014.75</v>
      </c>
      <c r="AQ140" s="214">
        <v>2750.2000000000003</v>
      </c>
      <c r="AR140" s="214">
        <v>2923.95</v>
      </c>
      <c r="AS140" s="214">
        <v>2543.9299999999998</v>
      </c>
      <c r="AT140" s="217">
        <v>1858.2099999999998</v>
      </c>
      <c r="AU140" s="208" t="s">
        <v>386</v>
      </c>
      <c r="AV140" s="208" t="s">
        <v>386</v>
      </c>
      <c r="AW140" s="208" t="s">
        <v>386</v>
      </c>
      <c r="AX140" s="208" t="s">
        <v>386</v>
      </c>
      <c r="AY140" s="208" t="s">
        <v>386</v>
      </c>
      <c r="AZ140" s="207" t="s">
        <v>386</v>
      </c>
      <c r="BA140" s="208" t="s">
        <v>386</v>
      </c>
      <c r="BB140" s="208" t="s">
        <v>386</v>
      </c>
      <c r="BC140" s="208" t="s">
        <v>386</v>
      </c>
      <c r="BD140" s="209" t="s">
        <v>386</v>
      </c>
      <c r="BE140" s="208" t="s">
        <v>386</v>
      </c>
      <c r="BF140" s="208" t="s">
        <v>386</v>
      </c>
      <c r="BG140" s="208" t="s">
        <v>386</v>
      </c>
      <c r="BH140" s="208" t="s">
        <v>386</v>
      </c>
      <c r="BI140" s="208" t="s">
        <v>386</v>
      </c>
      <c r="BJ140" s="207" t="s">
        <v>386</v>
      </c>
      <c r="BK140" s="208" t="s">
        <v>386</v>
      </c>
      <c r="BL140" s="208" t="s">
        <v>386</v>
      </c>
      <c r="BM140" s="208" t="s">
        <v>386</v>
      </c>
      <c r="BN140" s="209" t="s">
        <v>386</v>
      </c>
      <c r="BO140" s="208" t="s">
        <v>386</v>
      </c>
      <c r="BP140" s="208" t="s">
        <v>386</v>
      </c>
      <c r="BQ140" s="208" t="s">
        <v>386</v>
      </c>
      <c r="BR140" s="208" t="s">
        <v>386</v>
      </c>
      <c r="BS140" s="209" t="s">
        <v>386</v>
      </c>
      <c r="BT140" s="208" t="s">
        <v>386</v>
      </c>
      <c r="BU140" s="208" t="s">
        <v>386</v>
      </c>
      <c r="BV140" s="208" t="s">
        <v>386</v>
      </c>
      <c r="BW140" s="208" t="s">
        <v>386</v>
      </c>
      <c r="BX140" s="209" t="s">
        <v>386</v>
      </c>
      <c r="BY140" s="208" t="s">
        <v>386</v>
      </c>
      <c r="BZ140" s="208" t="s">
        <v>386</v>
      </c>
      <c r="CA140" s="208" t="s">
        <v>386</v>
      </c>
      <c r="CB140" s="208" t="s">
        <v>386</v>
      </c>
      <c r="CC140" s="208" t="s">
        <v>386</v>
      </c>
      <c r="CD140" s="207" t="s">
        <v>386</v>
      </c>
      <c r="CE140" s="208" t="s">
        <v>386</v>
      </c>
      <c r="CF140" s="208" t="s">
        <v>386</v>
      </c>
      <c r="CG140" s="208" t="s">
        <v>386</v>
      </c>
      <c r="CH140" s="209" t="s">
        <v>386</v>
      </c>
    </row>
    <row r="141" spans="1:86" x14ac:dyDescent="0.25">
      <c r="A141" s="107" t="s">
        <v>168</v>
      </c>
      <c r="B141" s="213">
        <v>45</v>
      </c>
      <c r="C141" s="214">
        <v>47.1</v>
      </c>
      <c r="D141" s="214">
        <v>40</v>
      </c>
      <c r="E141" s="214">
        <v>51.79</v>
      </c>
      <c r="F141" s="214">
        <v>27.22</v>
      </c>
      <c r="G141" s="213">
        <v>64.23</v>
      </c>
      <c r="H141" s="214">
        <v>66.2</v>
      </c>
      <c r="I141" s="214">
        <v>64.58</v>
      </c>
      <c r="J141" s="214">
        <v>56.419999999999995</v>
      </c>
      <c r="K141" s="217">
        <v>60.94</v>
      </c>
      <c r="L141" s="214">
        <v>213.54</v>
      </c>
      <c r="M141" s="214">
        <v>221.18</v>
      </c>
      <c r="N141" s="214">
        <v>214.56</v>
      </c>
      <c r="O141" s="214">
        <v>195.11</v>
      </c>
      <c r="P141" s="214">
        <v>233.58</v>
      </c>
      <c r="Q141" s="213">
        <v>55</v>
      </c>
      <c r="R141" s="214">
        <v>61</v>
      </c>
      <c r="S141" s="214">
        <v>73.2</v>
      </c>
      <c r="T141" s="214">
        <v>86.51</v>
      </c>
      <c r="U141" s="217">
        <v>85.65</v>
      </c>
      <c r="V141" s="214">
        <v>67.81</v>
      </c>
      <c r="W141" s="214">
        <v>64.69</v>
      </c>
      <c r="X141" s="214">
        <v>76.400000000000006</v>
      </c>
      <c r="Y141" s="214">
        <v>88.73</v>
      </c>
      <c r="Z141" s="214">
        <v>90.33</v>
      </c>
      <c r="AA141" s="207" t="s">
        <v>386</v>
      </c>
      <c r="AB141" s="208" t="s">
        <v>386</v>
      </c>
      <c r="AC141" s="208" t="s">
        <v>386</v>
      </c>
      <c r="AD141" s="208" t="s">
        <v>386</v>
      </c>
      <c r="AE141" s="208" t="s">
        <v>386</v>
      </c>
      <c r="AF141" s="229">
        <v>71</v>
      </c>
      <c r="AG141" s="220">
        <v>94</v>
      </c>
      <c r="AH141" s="220">
        <v>81.83</v>
      </c>
      <c r="AI141" s="220">
        <v>88.21</v>
      </c>
      <c r="AJ141" s="224">
        <v>79.52</v>
      </c>
      <c r="AK141" s="208" t="s">
        <v>386</v>
      </c>
      <c r="AL141" s="208" t="s">
        <v>386</v>
      </c>
      <c r="AM141" s="208" t="s">
        <v>386</v>
      </c>
      <c r="AN141" s="208" t="s">
        <v>386</v>
      </c>
      <c r="AO141" s="208" t="s">
        <v>386</v>
      </c>
      <c r="AP141" s="207" t="s">
        <v>386</v>
      </c>
      <c r="AQ141" s="208" t="s">
        <v>386</v>
      </c>
      <c r="AR141" s="208" t="s">
        <v>386</v>
      </c>
      <c r="AS141" s="208" t="s">
        <v>386</v>
      </c>
      <c r="AT141" s="209" t="s">
        <v>386</v>
      </c>
      <c r="AU141" s="208" t="s">
        <v>386</v>
      </c>
      <c r="AV141" s="208" t="s">
        <v>386</v>
      </c>
      <c r="AW141" s="208" t="s">
        <v>386</v>
      </c>
      <c r="AX141" s="208" t="s">
        <v>386</v>
      </c>
      <c r="AY141" s="208" t="s">
        <v>386</v>
      </c>
      <c r="AZ141" s="207" t="s">
        <v>386</v>
      </c>
      <c r="BA141" s="208" t="s">
        <v>386</v>
      </c>
      <c r="BB141" s="208" t="s">
        <v>386</v>
      </c>
      <c r="BC141" s="208" t="s">
        <v>386</v>
      </c>
      <c r="BD141" s="209" t="s">
        <v>386</v>
      </c>
      <c r="BE141" s="208" t="s">
        <v>386</v>
      </c>
      <c r="BF141" s="208" t="s">
        <v>386</v>
      </c>
      <c r="BG141" s="208" t="s">
        <v>386</v>
      </c>
      <c r="BH141" s="208" t="s">
        <v>386</v>
      </c>
      <c r="BI141" s="208" t="s">
        <v>386</v>
      </c>
      <c r="BJ141" s="207" t="s">
        <v>386</v>
      </c>
      <c r="BK141" s="208" t="s">
        <v>386</v>
      </c>
      <c r="BL141" s="208" t="s">
        <v>386</v>
      </c>
      <c r="BM141" s="208" t="s">
        <v>386</v>
      </c>
      <c r="BN141" s="209" t="s">
        <v>386</v>
      </c>
      <c r="BO141" s="208" t="s">
        <v>386</v>
      </c>
      <c r="BP141" s="208" t="s">
        <v>386</v>
      </c>
      <c r="BQ141" s="208" t="s">
        <v>386</v>
      </c>
      <c r="BR141" s="208" t="s">
        <v>386</v>
      </c>
      <c r="BS141" s="209" t="s">
        <v>386</v>
      </c>
      <c r="BT141" s="208" t="s">
        <v>386</v>
      </c>
      <c r="BU141" s="208" t="s">
        <v>386</v>
      </c>
      <c r="BV141" s="208" t="s">
        <v>386</v>
      </c>
      <c r="BW141" s="208" t="s">
        <v>386</v>
      </c>
      <c r="BX141" s="209" t="s">
        <v>386</v>
      </c>
      <c r="BY141" s="208" t="s">
        <v>386</v>
      </c>
      <c r="BZ141" s="208" t="s">
        <v>386</v>
      </c>
      <c r="CA141" s="208" t="s">
        <v>386</v>
      </c>
      <c r="CB141" s="208" t="s">
        <v>386</v>
      </c>
      <c r="CC141" s="208" t="s">
        <v>386</v>
      </c>
      <c r="CD141" s="207" t="s">
        <v>386</v>
      </c>
      <c r="CE141" s="208" t="s">
        <v>386</v>
      </c>
      <c r="CF141" s="208" t="s">
        <v>386</v>
      </c>
      <c r="CG141" s="208" t="s">
        <v>386</v>
      </c>
      <c r="CH141" s="209" t="s">
        <v>386</v>
      </c>
    </row>
    <row r="142" spans="1:86" x14ac:dyDescent="0.25">
      <c r="A142" s="107" t="s">
        <v>169</v>
      </c>
      <c r="B142" s="213">
        <v>33.99</v>
      </c>
      <c r="C142" s="214">
        <v>36.64</v>
      </c>
      <c r="D142" s="214">
        <v>38.809999999999995</v>
      </c>
      <c r="E142" s="214">
        <v>37.81</v>
      </c>
      <c r="F142" s="214">
        <v>43.21</v>
      </c>
      <c r="G142" s="213">
        <v>58.839999999999996</v>
      </c>
      <c r="H142" s="214">
        <v>47.57</v>
      </c>
      <c r="I142" s="214">
        <v>54.91</v>
      </c>
      <c r="J142" s="214">
        <v>57.800000000000004</v>
      </c>
      <c r="K142" s="217">
        <v>46.45</v>
      </c>
      <c r="L142" s="214">
        <v>218.61</v>
      </c>
      <c r="M142" s="214">
        <v>144.53</v>
      </c>
      <c r="N142" s="214">
        <v>190.58</v>
      </c>
      <c r="O142" s="214">
        <v>187.73</v>
      </c>
      <c r="P142" s="214">
        <v>177.14000000000001</v>
      </c>
      <c r="Q142" s="213">
        <v>56.1</v>
      </c>
      <c r="R142" s="214">
        <v>61</v>
      </c>
      <c r="S142" s="214">
        <v>49.9</v>
      </c>
      <c r="T142" s="214">
        <v>86.51</v>
      </c>
      <c r="U142" s="217">
        <v>85.65</v>
      </c>
      <c r="V142" s="214">
        <v>59.6</v>
      </c>
      <c r="W142" s="214">
        <v>47.54</v>
      </c>
      <c r="X142" s="214">
        <v>60.18</v>
      </c>
      <c r="Y142" s="214">
        <v>59.98</v>
      </c>
      <c r="Z142" s="214">
        <v>60.8</v>
      </c>
      <c r="AA142" s="207" t="s">
        <v>386</v>
      </c>
      <c r="AB142" s="208" t="s">
        <v>386</v>
      </c>
      <c r="AC142" s="208" t="s">
        <v>386</v>
      </c>
      <c r="AD142" s="208" t="s">
        <v>386</v>
      </c>
      <c r="AE142" s="208" t="s">
        <v>386</v>
      </c>
      <c r="AF142" s="229">
        <v>71</v>
      </c>
      <c r="AG142" s="220">
        <v>94</v>
      </c>
      <c r="AH142" s="220">
        <v>81.83</v>
      </c>
      <c r="AI142" s="220">
        <v>88.21</v>
      </c>
      <c r="AJ142" s="224">
        <v>79.52</v>
      </c>
      <c r="AK142" s="208" t="s">
        <v>386</v>
      </c>
      <c r="AL142" s="208" t="s">
        <v>386</v>
      </c>
      <c r="AM142" s="208" t="s">
        <v>386</v>
      </c>
      <c r="AN142" s="208" t="s">
        <v>386</v>
      </c>
      <c r="AO142" s="208" t="s">
        <v>386</v>
      </c>
      <c r="AP142" s="213">
        <v>1791</v>
      </c>
      <c r="AQ142" s="214">
        <v>2185.46</v>
      </c>
      <c r="AR142" s="214">
        <v>2593.81</v>
      </c>
      <c r="AS142" s="214">
        <v>2553.84</v>
      </c>
      <c r="AT142" s="217">
        <v>1845.18</v>
      </c>
      <c r="AU142" s="208" t="s">
        <v>386</v>
      </c>
      <c r="AV142" s="208" t="s">
        <v>386</v>
      </c>
      <c r="AW142" s="208" t="s">
        <v>386</v>
      </c>
      <c r="AX142" s="208" t="s">
        <v>386</v>
      </c>
      <c r="AY142" s="208" t="s">
        <v>386</v>
      </c>
      <c r="AZ142" s="207" t="s">
        <v>386</v>
      </c>
      <c r="BA142" s="208" t="s">
        <v>386</v>
      </c>
      <c r="BB142" s="208" t="s">
        <v>386</v>
      </c>
      <c r="BC142" s="208" t="s">
        <v>386</v>
      </c>
      <c r="BD142" s="209" t="s">
        <v>386</v>
      </c>
      <c r="BE142" s="214" t="s">
        <v>386</v>
      </c>
      <c r="BF142" s="214" t="s">
        <v>386</v>
      </c>
      <c r="BG142" s="214" t="s">
        <v>386</v>
      </c>
      <c r="BH142" s="214" t="s">
        <v>386</v>
      </c>
      <c r="BI142" s="214" t="s">
        <v>386</v>
      </c>
      <c r="BJ142" s="207" t="s">
        <v>386</v>
      </c>
      <c r="BK142" s="208" t="s">
        <v>386</v>
      </c>
      <c r="BL142" s="208" t="s">
        <v>386</v>
      </c>
      <c r="BM142" s="208" t="s">
        <v>386</v>
      </c>
      <c r="BN142" s="209" t="s">
        <v>386</v>
      </c>
      <c r="BO142" s="208" t="s">
        <v>386</v>
      </c>
      <c r="BP142" s="208" t="s">
        <v>386</v>
      </c>
      <c r="BQ142" s="208" t="s">
        <v>386</v>
      </c>
      <c r="BR142" s="208" t="s">
        <v>386</v>
      </c>
      <c r="BS142" s="209" t="s">
        <v>386</v>
      </c>
      <c r="BT142" s="208" t="s">
        <v>386</v>
      </c>
      <c r="BU142" s="208" t="s">
        <v>386</v>
      </c>
      <c r="BV142" s="208" t="s">
        <v>386</v>
      </c>
      <c r="BW142" s="208" t="s">
        <v>386</v>
      </c>
      <c r="BX142" s="209" t="s">
        <v>386</v>
      </c>
      <c r="BY142" s="208" t="s">
        <v>386</v>
      </c>
      <c r="BZ142" s="208" t="s">
        <v>386</v>
      </c>
      <c r="CA142" s="208" t="s">
        <v>386</v>
      </c>
      <c r="CB142" s="208" t="s">
        <v>386</v>
      </c>
      <c r="CC142" s="208" t="s">
        <v>386</v>
      </c>
      <c r="CD142" s="207" t="s">
        <v>386</v>
      </c>
      <c r="CE142" s="208" t="s">
        <v>386</v>
      </c>
      <c r="CF142" s="208" t="s">
        <v>386</v>
      </c>
      <c r="CG142" s="208" t="s">
        <v>386</v>
      </c>
      <c r="CH142" s="209" t="s">
        <v>386</v>
      </c>
    </row>
    <row r="143" spans="1:86" ht="15.75" thickBot="1" x14ac:dyDescent="0.3">
      <c r="A143" s="107" t="s">
        <v>170</v>
      </c>
      <c r="B143" s="213">
        <v>48.93</v>
      </c>
      <c r="C143" s="214">
        <v>54.24</v>
      </c>
      <c r="D143" s="214">
        <v>50.980000000000004</v>
      </c>
      <c r="E143" s="214">
        <v>65.010000000000005</v>
      </c>
      <c r="F143" s="214">
        <v>39.75</v>
      </c>
      <c r="G143" s="213">
        <v>54.589999999999996</v>
      </c>
      <c r="H143" s="214">
        <v>53.87</v>
      </c>
      <c r="I143" s="214">
        <v>50.309999999999995</v>
      </c>
      <c r="J143" s="214">
        <v>51.150000000000006</v>
      </c>
      <c r="K143" s="217">
        <v>51.92</v>
      </c>
      <c r="L143" s="214">
        <v>198.37</v>
      </c>
      <c r="M143" s="214">
        <v>186.75</v>
      </c>
      <c r="N143" s="214">
        <v>200.31</v>
      </c>
      <c r="O143" s="214">
        <v>190.76000000000002</v>
      </c>
      <c r="P143" s="214">
        <v>186.44</v>
      </c>
      <c r="Q143" s="213">
        <v>70.3</v>
      </c>
      <c r="R143" s="214">
        <v>61</v>
      </c>
      <c r="S143" s="214">
        <v>76.5</v>
      </c>
      <c r="T143" s="214">
        <v>86.51</v>
      </c>
      <c r="U143" s="217">
        <v>61</v>
      </c>
      <c r="V143" s="214">
        <v>73.97</v>
      </c>
      <c r="W143" s="214">
        <v>58.22</v>
      </c>
      <c r="X143" s="214">
        <v>68.7</v>
      </c>
      <c r="Y143" s="214">
        <v>82.91</v>
      </c>
      <c r="Z143" s="214">
        <v>86.11</v>
      </c>
      <c r="AA143" s="207" t="s">
        <v>386</v>
      </c>
      <c r="AB143" s="208" t="s">
        <v>386</v>
      </c>
      <c r="AC143" s="208" t="s">
        <v>386</v>
      </c>
      <c r="AD143" s="208" t="s">
        <v>386</v>
      </c>
      <c r="AE143" s="208" t="s">
        <v>386</v>
      </c>
      <c r="AF143" s="362" t="s">
        <v>386</v>
      </c>
      <c r="AG143" s="363" t="s">
        <v>386</v>
      </c>
      <c r="AH143" s="363" t="s">
        <v>386</v>
      </c>
      <c r="AI143" s="363" t="s">
        <v>386</v>
      </c>
      <c r="AJ143" s="364" t="s">
        <v>386</v>
      </c>
      <c r="AK143" s="208" t="s">
        <v>386</v>
      </c>
      <c r="AL143" s="208" t="s">
        <v>386</v>
      </c>
      <c r="AM143" s="208" t="s">
        <v>386</v>
      </c>
      <c r="AN143" s="208" t="s">
        <v>386</v>
      </c>
      <c r="AO143" s="208" t="s">
        <v>386</v>
      </c>
      <c r="AP143" s="213">
        <v>1835</v>
      </c>
      <c r="AQ143" s="214">
        <v>2185.46</v>
      </c>
      <c r="AR143" s="214">
        <v>2593.81</v>
      </c>
      <c r="AS143" s="214">
        <v>2553.84</v>
      </c>
      <c r="AT143" s="217">
        <v>1845.18</v>
      </c>
      <c r="AU143" s="208">
        <v>2398</v>
      </c>
      <c r="AV143" s="208">
        <v>1520</v>
      </c>
      <c r="AW143" s="208">
        <v>2058.5</v>
      </c>
      <c r="AX143" s="208">
        <v>2300</v>
      </c>
      <c r="AY143" s="208">
        <v>2431</v>
      </c>
      <c r="AZ143" s="207" t="s">
        <v>386</v>
      </c>
      <c r="BA143" s="208" t="s">
        <v>386</v>
      </c>
      <c r="BB143" s="208" t="s">
        <v>386</v>
      </c>
      <c r="BC143" s="208" t="s">
        <v>386</v>
      </c>
      <c r="BD143" s="209" t="s">
        <v>386</v>
      </c>
      <c r="BE143" s="208" t="s">
        <v>386</v>
      </c>
      <c r="BF143" s="208" t="s">
        <v>386</v>
      </c>
      <c r="BG143" s="208" t="s">
        <v>386</v>
      </c>
      <c r="BH143" s="208" t="s">
        <v>386</v>
      </c>
      <c r="BI143" s="208" t="s">
        <v>386</v>
      </c>
      <c r="BJ143" s="207" t="s">
        <v>386</v>
      </c>
      <c r="BK143" s="208" t="s">
        <v>386</v>
      </c>
      <c r="BL143" s="208" t="s">
        <v>386</v>
      </c>
      <c r="BM143" s="208" t="s">
        <v>386</v>
      </c>
      <c r="BN143" s="209" t="s">
        <v>386</v>
      </c>
      <c r="BO143" s="208" t="s">
        <v>386</v>
      </c>
      <c r="BP143" s="208" t="s">
        <v>386</v>
      </c>
      <c r="BQ143" s="208" t="s">
        <v>386</v>
      </c>
      <c r="BR143" s="208" t="s">
        <v>386</v>
      </c>
      <c r="BS143" s="209" t="s">
        <v>386</v>
      </c>
      <c r="BT143" s="208" t="s">
        <v>386</v>
      </c>
      <c r="BU143" s="208" t="s">
        <v>386</v>
      </c>
      <c r="BV143" s="208" t="s">
        <v>386</v>
      </c>
      <c r="BW143" s="208" t="s">
        <v>386</v>
      </c>
      <c r="BX143" s="209" t="s">
        <v>386</v>
      </c>
      <c r="BY143" s="208" t="s">
        <v>386</v>
      </c>
      <c r="BZ143" s="208" t="s">
        <v>386</v>
      </c>
      <c r="CA143" s="208" t="s">
        <v>386</v>
      </c>
      <c r="CB143" s="208" t="s">
        <v>386</v>
      </c>
      <c r="CC143" s="208" t="s">
        <v>386</v>
      </c>
      <c r="CD143" s="207" t="s">
        <v>386</v>
      </c>
      <c r="CE143" s="208" t="s">
        <v>386</v>
      </c>
      <c r="CF143" s="208" t="s">
        <v>386</v>
      </c>
      <c r="CG143" s="208" t="s">
        <v>386</v>
      </c>
      <c r="CH143" s="209" t="s">
        <v>386</v>
      </c>
    </row>
    <row r="144" spans="1:86" x14ac:dyDescent="0.25">
      <c r="A144" s="221" t="s">
        <v>253</v>
      </c>
      <c r="B144" s="227">
        <v>111.55000000000001</v>
      </c>
      <c r="C144" s="222">
        <v>93.16</v>
      </c>
      <c r="D144" s="222">
        <v>108.02</v>
      </c>
      <c r="E144" s="222">
        <v>125.07000000000001</v>
      </c>
      <c r="F144" s="228">
        <v>111.74000000000001</v>
      </c>
      <c r="G144" s="368" t="s">
        <v>386</v>
      </c>
      <c r="H144" s="368" t="s">
        <v>386</v>
      </c>
      <c r="I144" s="368" t="s">
        <v>386</v>
      </c>
      <c r="J144" s="368" t="s">
        <v>386</v>
      </c>
      <c r="K144" s="368" t="s">
        <v>386</v>
      </c>
      <c r="L144" s="369" t="s">
        <v>386</v>
      </c>
      <c r="M144" s="368" t="s">
        <v>386</v>
      </c>
      <c r="N144" s="368" t="s">
        <v>386</v>
      </c>
      <c r="O144" s="368" t="s">
        <v>386</v>
      </c>
      <c r="P144" s="370" t="s">
        <v>386</v>
      </c>
      <c r="Q144" s="222">
        <v>102.27</v>
      </c>
      <c r="R144" s="222">
        <v>82.3</v>
      </c>
      <c r="S144" s="222">
        <v>103.02000000000001</v>
      </c>
      <c r="T144" s="222">
        <v>98.6</v>
      </c>
      <c r="U144" s="222">
        <v>82.88</v>
      </c>
      <c r="V144" s="227" t="s">
        <v>386</v>
      </c>
      <c r="W144" s="222" t="s">
        <v>386</v>
      </c>
      <c r="X144" s="222" t="s">
        <v>386</v>
      </c>
      <c r="Y144" s="222" t="s">
        <v>386</v>
      </c>
      <c r="Z144" s="228" t="s">
        <v>386</v>
      </c>
      <c r="AA144" s="368" t="s">
        <v>386</v>
      </c>
      <c r="AB144" s="368" t="s">
        <v>386</v>
      </c>
      <c r="AC144" s="368" t="s">
        <v>386</v>
      </c>
      <c r="AD144" s="368" t="s">
        <v>386</v>
      </c>
      <c r="AE144" s="368" t="s">
        <v>386</v>
      </c>
      <c r="AF144" s="371" t="s">
        <v>386</v>
      </c>
      <c r="AG144" s="372" t="s">
        <v>386</v>
      </c>
      <c r="AH144" s="372" t="s">
        <v>386</v>
      </c>
      <c r="AI144" s="372" t="s">
        <v>386</v>
      </c>
      <c r="AJ144" s="373" t="s">
        <v>386</v>
      </c>
      <c r="AK144" s="368" t="s">
        <v>386</v>
      </c>
      <c r="AL144" s="368" t="s">
        <v>386</v>
      </c>
      <c r="AM144" s="368" t="s">
        <v>386</v>
      </c>
      <c r="AN144" s="368" t="s">
        <v>386</v>
      </c>
      <c r="AO144" s="368" t="s">
        <v>386</v>
      </c>
      <c r="AP144" s="369" t="s">
        <v>386</v>
      </c>
      <c r="AQ144" s="368" t="s">
        <v>386</v>
      </c>
      <c r="AR144" s="368" t="s">
        <v>386</v>
      </c>
      <c r="AS144" s="368" t="s">
        <v>386</v>
      </c>
      <c r="AT144" s="370" t="s">
        <v>386</v>
      </c>
      <c r="AU144" s="368" t="s">
        <v>386</v>
      </c>
      <c r="AV144" s="368" t="s">
        <v>386</v>
      </c>
      <c r="AW144" s="368" t="s">
        <v>386</v>
      </c>
      <c r="AX144" s="368" t="s">
        <v>386</v>
      </c>
      <c r="AY144" s="368" t="s">
        <v>386</v>
      </c>
      <c r="AZ144" s="369" t="s">
        <v>386</v>
      </c>
      <c r="BA144" s="368" t="s">
        <v>386</v>
      </c>
      <c r="BB144" s="368" t="s">
        <v>386</v>
      </c>
      <c r="BC144" s="368" t="s">
        <v>386</v>
      </c>
      <c r="BD144" s="370" t="s">
        <v>386</v>
      </c>
      <c r="BE144" s="222" t="s">
        <v>386</v>
      </c>
      <c r="BF144" s="222" t="s">
        <v>386</v>
      </c>
      <c r="BG144" s="222" t="s">
        <v>386</v>
      </c>
      <c r="BH144" s="222" t="s">
        <v>386</v>
      </c>
      <c r="BI144" s="222" t="s">
        <v>386</v>
      </c>
      <c r="BJ144" s="369" t="s">
        <v>386</v>
      </c>
      <c r="BK144" s="368" t="s">
        <v>386</v>
      </c>
      <c r="BL144" s="368" t="s">
        <v>386</v>
      </c>
      <c r="BM144" s="368" t="s">
        <v>386</v>
      </c>
      <c r="BN144" s="370" t="s">
        <v>386</v>
      </c>
      <c r="BO144" s="368" t="s">
        <v>386</v>
      </c>
      <c r="BP144" s="368" t="s">
        <v>386</v>
      </c>
      <c r="BQ144" s="368" t="s">
        <v>386</v>
      </c>
      <c r="BR144" s="368" t="s">
        <v>386</v>
      </c>
      <c r="BS144" s="370" t="s">
        <v>386</v>
      </c>
      <c r="BT144" s="368" t="s">
        <v>386</v>
      </c>
      <c r="BU144" s="368" t="s">
        <v>386</v>
      </c>
      <c r="BV144" s="368" t="s">
        <v>386</v>
      </c>
      <c r="BW144" s="368" t="s">
        <v>386</v>
      </c>
      <c r="BX144" s="370" t="s">
        <v>386</v>
      </c>
      <c r="BY144" s="368" t="s">
        <v>386</v>
      </c>
      <c r="BZ144" s="368" t="s">
        <v>386</v>
      </c>
      <c r="CA144" s="368" t="s">
        <v>386</v>
      </c>
      <c r="CB144" s="368" t="s">
        <v>386</v>
      </c>
      <c r="CC144" s="368" t="s">
        <v>386</v>
      </c>
      <c r="CD144" s="369" t="s">
        <v>386</v>
      </c>
      <c r="CE144" s="368" t="s">
        <v>386</v>
      </c>
      <c r="CF144" s="368" t="s">
        <v>386</v>
      </c>
      <c r="CG144" s="368" t="s">
        <v>386</v>
      </c>
      <c r="CH144" s="370" t="s">
        <v>386</v>
      </c>
    </row>
    <row r="145" spans="1:86" x14ac:dyDescent="0.25">
      <c r="A145" s="223" t="s">
        <v>254</v>
      </c>
      <c r="B145" s="229">
        <v>46.88</v>
      </c>
      <c r="C145" s="220">
        <v>33.1</v>
      </c>
      <c r="D145" s="220">
        <v>41.86</v>
      </c>
      <c r="E145" s="220">
        <v>57.9</v>
      </c>
      <c r="F145" s="224">
        <v>52.91</v>
      </c>
      <c r="G145" s="363" t="s">
        <v>386</v>
      </c>
      <c r="H145" s="363" t="s">
        <v>386</v>
      </c>
      <c r="I145" s="363" t="s">
        <v>386</v>
      </c>
      <c r="J145" s="363" t="s">
        <v>386</v>
      </c>
      <c r="K145" s="363" t="s">
        <v>386</v>
      </c>
      <c r="L145" s="229">
        <v>66</v>
      </c>
      <c r="M145" s="220">
        <v>93.04</v>
      </c>
      <c r="N145" s="220">
        <v>138.25</v>
      </c>
      <c r="O145" s="220">
        <v>69</v>
      </c>
      <c r="P145" s="224">
        <v>119.02</v>
      </c>
      <c r="Q145" s="220">
        <v>46.67</v>
      </c>
      <c r="R145" s="220">
        <v>29.3</v>
      </c>
      <c r="S145" s="220">
        <v>52.72</v>
      </c>
      <c r="T145" s="220">
        <v>99.59</v>
      </c>
      <c r="U145" s="220">
        <v>60.39</v>
      </c>
      <c r="V145" s="229">
        <v>62.8</v>
      </c>
      <c r="W145" s="220">
        <v>36.799999999999997</v>
      </c>
      <c r="X145" s="220">
        <v>48.8</v>
      </c>
      <c r="Y145" s="220">
        <v>63</v>
      </c>
      <c r="Z145" s="224">
        <v>40</v>
      </c>
      <c r="AA145" s="363" t="s">
        <v>386</v>
      </c>
      <c r="AB145" s="363" t="s">
        <v>386</v>
      </c>
      <c r="AC145" s="363" t="s">
        <v>386</v>
      </c>
      <c r="AD145" s="363" t="s">
        <v>386</v>
      </c>
      <c r="AE145" s="363" t="s">
        <v>386</v>
      </c>
      <c r="AF145" s="229">
        <v>31</v>
      </c>
      <c r="AG145" s="220">
        <v>28</v>
      </c>
      <c r="AH145" s="220">
        <v>26</v>
      </c>
      <c r="AI145" s="220">
        <v>50</v>
      </c>
      <c r="AJ145" s="224">
        <v>28</v>
      </c>
      <c r="AK145" s="363" t="s">
        <v>386</v>
      </c>
      <c r="AL145" s="363" t="s">
        <v>386</v>
      </c>
      <c r="AM145" s="363" t="s">
        <v>386</v>
      </c>
      <c r="AN145" s="363" t="s">
        <v>386</v>
      </c>
      <c r="AO145" s="363" t="s">
        <v>386</v>
      </c>
      <c r="AP145" s="362">
        <v>1407.73</v>
      </c>
      <c r="AQ145" s="363">
        <v>965.57</v>
      </c>
      <c r="AR145" s="363">
        <v>1721.78</v>
      </c>
      <c r="AS145" s="363">
        <v>1721.78</v>
      </c>
      <c r="AT145" s="364">
        <v>1432.35</v>
      </c>
      <c r="AU145" s="220">
        <v>2165.9</v>
      </c>
      <c r="AV145" s="220">
        <v>588</v>
      </c>
      <c r="AW145" s="220">
        <v>2063.35</v>
      </c>
      <c r="AX145" s="220">
        <v>2729.06</v>
      </c>
      <c r="AY145" s="220">
        <v>1529.2</v>
      </c>
      <c r="AZ145" s="362">
        <v>1264.3599999999999</v>
      </c>
      <c r="BA145" s="363">
        <v>702.4</v>
      </c>
      <c r="BB145" s="363">
        <v>772.93</v>
      </c>
      <c r="BC145" s="363">
        <v>1060.3</v>
      </c>
      <c r="BD145" s="364">
        <v>702.4</v>
      </c>
      <c r="BE145" s="220">
        <v>804.93</v>
      </c>
      <c r="BF145" s="220">
        <v>520</v>
      </c>
      <c r="BG145" s="220">
        <v>589.16</v>
      </c>
      <c r="BH145" s="220">
        <v>885.94</v>
      </c>
      <c r="BI145" s="220">
        <v>584</v>
      </c>
      <c r="BJ145" s="229" t="s">
        <v>386</v>
      </c>
      <c r="BK145" s="220" t="s">
        <v>386</v>
      </c>
      <c r="BL145" s="220" t="s">
        <v>386</v>
      </c>
      <c r="BM145" s="220" t="s">
        <v>386</v>
      </c>
      <c r="BN145" s="224" t="s">
        <v>386</v>
      </c>
      <c r="BO145" s="220" t="s">
        <v>386</v>
      </c>
      <c r="BP145" s="220" t="s">
        <v>386</v>
      </c>
      <c r="BQ145" s="220" t="s">
        <v>386</v>
      </c>
      <c r="BR145" s="220" t="s">
        <v>386</v>
      </c>
      <c r="BS145" s="224" t="s">
        <v>386</v>
      </c>
      <c r="BT145" s="363" t="s">
        <v>386</v>
      </c>
      <c r="BU145" s="363" t="s">
        <v>386</v>
      </c>
      <c r="BV145" s="363" t="s">
        <v>386</v>
      </c>
      <c r="BW145" s="363" t="s">
        <v>386</v>
      </c>
      <c r="BX145" s="364" t="s">
        <v>386</v>
      </c>
      <c r="BY145" s="363" t="s">
        <v>386</v>
      </c>
      <c r="BZ145" s="363" t="s">
        <v>386</v>
      </c>
      <c r="CA145" s="363" t="s">
        <v>386</v>
      </c>
      <c r="CB145" s="363" t="s">
        <v>386</v>
      </c>
      <c r="CC145" s="363" t="s">
        <v>386</v>
      </c>
      <c r="CD145" s="362" t="s">
        <v>386</v>
      </c>
      <c r="CE145" s="363" t="s">
        <v>386</v>
      </c>
      <c r="CF145" s="363" t="s">
        <v>386</v>
      </c>
      <c r="CG145" s="363" t="s">
        <v>386</v>
      </c>
      <c r="CH145" s="364" t="s">
        <v>386</v>
      </c>
    </row>
    <row r="146" spans="1:86" x14ac:dyDescent="0.25">
      <c r="A146" s="223" t="s">
        <v>255</v>
      </c>
      <c r="B146" s="229">
        <v>36.03</v>
      </c>
      <c r="C146" s="220">
        <v>23.8</v>
      </c>
      <c r="D146" s="220">
        <v>22.88</v>
      </c>
      <c r="E146" s="220">
        <v>22.759999999999998</v>
      </c>
      <c r="F146" s="224">
        <v>33.160000000000004</v>
      </c>
      <c r="G146" s="363" t="s">
        <v>386</v>
      </c>
      <c r="H146" s="363" t="s">
        <v>386</v>
      </c>
      <c r="I146" s="363" t="s">
        <v>386</v>
      </c>
      <c r="J146" s="363" t="s">
        <v>386</v>
      </c>
      <c r="K146" s="363" t="s">
        <v>386</v>
      </c>
      <c r="L146" s="229">
        <v>164.04</v>
      </c>
      <c r="M146" s="220">
        <v>175.52</v>
      </c>
      <c r="N146" s="220">
        <v>169.29</v>
      </c>
      <c r="O146" s="220">
        <v>188.78</v>
      </c>
      <c r="P146" s="224">
        <v>162.86000000000001</v>
      </c>
      <c r="Q146" s="220">
        <v>40.81</v>
      </c>
      <c r="R146" s="220">
        <v>25.1</v>
      </c>
      <c r="S146" s="220">
        <v>25.68</v>
      </c>
      <c r="T146" s="220">
        <v>25.87</v>
      </c>
      <c r="U146" s="220">
        <v>39.449999999999996</v>
      </c>
      <c r="V146" s="229">
        <v>40.81</v>
      </c>
      <c r="W146" s="220">
        <v>29.6</v>
      </c>
      <c r="X146" s="220">
        <v>26.66</v>
      </c>
      <c r="Y146" s="220">
        <v>63</v>
      </c>
      <c r="Z146" s="224">
        <v>32</v>
      </c>
      <c r="AA146" s="220">
        <v>10.4</v>
      </c>
      <c r="AB146" s="220">
        <v>8.8000000000000007</v>
      </c>
      <c r="AC146" s="220">
        <v>8.8000000000000007</v>
      </c>
      <c r="AD146" s="220">
        <v>8.8000000000000007</v>
      </c>
      <c r="AE146" s="220">
        <v>9.14</v>
      </c>
      <c r="AF146" s="362" t="s">
        <v>386</v>
      </c>
      <c r="AG146" s="363" t="s">
        <v>386</v>
      </c>
      <c r="AH146" s="363" t="s">
        <v>386</v>
      </c>
      <c r="AI146" s="363" t="s">
        <v>386</v>
      </c>
      <c r="AJ146" s="364" t="s">
        <v>386</v>
      </c>
      <c r="AK146" s="220" t="s">
        <v>386</v>
      </c>
      <c r="AL146" s="220" t="s">
        <v>386</v>
      </c>
      <c r="AM146" s="220" t="s">
        <v>386</v>
      </c>
      <c r="AN146" s="220" t="s">
        <v>386</v>
      </c>
      <c r="AO146" s="220" t="s">
        <v>386</v>
      </c>
      <c r="AP146" s="362">
        <v>1407.73</v>
      </c>
      <c r="AQ146" s="363">
        <v>965.57</v>
      </c>
      <c r="AR146" s="363">
        <v>1721.78</v>
      </c>
      <c r="AS146" s="363">
        <v>1721.78</v>
      </c>
      <c r="AT146" s="364">
        <v>1432.35</v>
      </c>
      <c r="AU146" s="220">
        <v>1172.72</v>
      </c>
      <c r="AV146" s="220">
        <v>928.8</v>
      </c>
      <c r="AW146" s="220">
        <v>1076.29</v>
      </c>
      <c r="AX146" s="220">
        <v>1024.01</v>
      </c>
      <c r="AY146" s="220">
        <v>1501.71</v>
      </c>
      <c r="AZ146" s="229">
        <v>1319.82</v>
      </c>
      <c r="BA146" s="220">
        <v>821.6</v>
      </c>
      <c r="BB146" s="220">
        <v>724.8</v>
      </c>
      <c r="BC146" s="220">
        <v>725.6</v>
      </c>
      <c r="BD146" s="224">
        <v>764.8</v>
      </c>
      <c r="BE146" s="220">
        <v>871.5</v>
      </c>
      <c r="BF146" s="220">
        <v>635.20000000000005</v>
      </c>
      <c r="BG146" s="220">
        <v>652.5</v>
      </c>
      <c r="BH146" s="220">
        <v>920.91</v>
      </c>
      <c r="BI146" s="220">
        <v>801.17</v>
      </c>
      <c r="BJ146" s="362">
        <v>885.65</v>
      </c>
      <c r="BK146" s="363">
        <v>426.4</v>
      </c>
      <c r="BL146" s="363">
        <v>426.4</v>
      </c>
      <c r="BM146" s="363">
        <v>633.28</v>
      </c>
      <c r="BN146" s="364">
        <v>570.4</v>
      </c>
      <c r="BO146" s="363" t="s">
        <v>386</v>
      </c>
      <c r="BP146" s="363" t="s">
        <v>386</v>
      </c>
      <c r="BQ146" s="363" t="s">
        <v>386</v>
      </c>
      <c r="BR146" s="363" t="s">
        <v>386</v>
      </c>
      <c r="BS146" s="364" t="s">
        <v>386</v>
      </c>
      <c r="BT146" s="220" t="s">
        <v>386</v>
      </c>
      <c r="BU146" s="220" t="s">
        <v>386</v>
      </c>
      <c r="BV146" s="220" t="s">
        <v>386</v>
      </c>
      <c r="BW146" s="220" t="s">
        <v>386</v>
      </c>
      <c r="BX146" s="224" t="s">
        <v>386</v>
      </c>
      <c r="BY146" s="220">
        <v>1108.97</v>
      </c>
      <c r="BZ146" s="220">
        <v>695.46</v>
      </c>
      <c r="CA146" s="220">
        <v>583.79</v>
      </c>
      <c r="CB146" s="220">
        <v>1352.99</v>
      </c>
      <c r="CC146" s="220">
        <v>905.09</v>
      </c>
      <c r="CD146" s="362" t="s">
        <v>386</v>
      </c>
      <c r="CE146" s="363" t="s">
        <v>386</v>
      </c>
      <c r="CF146" s="363" t="s">
        <v>386</v>
      </c>
      <c r="CG146" s="363" t="s">
        <v>386</v>
      </c>
      <c r="CH146" s="364" t="s">
        <v>386</v>
      </c>
    </row>
    <row r="147" spans="1:86" x14ac:dyDescent="0.25">
      <c r="A147" s="223" t="s">
        <v>256</v>
      </c>
      <c r="B147" s="229">
        <v>27.64</v>
      </c>
      <c r="C147" s="220">
        <v>26.55</v>
      </c>
      <c r="D147" s="220">
        <v>28.62</v>
      </c>
      <c r="E147" s="220">
        <v>48.56</v>
      </c>
      <c r="F147" s="224">
        <v>23.58</v>
      </c>
      <c r="G147" s="363" t="s">
        <v>386</v>
      </c>
      <c r="H147" s="363" t="s">
        <v>386</v>
      </c>
      <c r="I147" s="363" t="s">
        <v>386</v>
      </c>
      <c r="J147" s="363" t="s">
        <v>386</v>
      </c>
      <c r="K147" s="363" t="s">
        <v>386</v>
      </c>
      <c r="L147" s="362" t="s">
        <v>386</v>
      </c>
      <c r="M147" s="363" t="s">
        <v>386</v>
      </c>
      <c r="N147" s="363" t="s">
        <v>386</v>
      </c>
      <c r="O147" s="363" t="s">
        <v>386</v>
      </c>
      <c r="P147" s="364" t="s">
        <v>386</v>
      </c>
      <c r="Q147" s="220">
        <v>72.919999999999987</v>
      </c>
      <c r="R147" s="220">
        <v>27.950000000000003</v>
      </c>
      <c r="S147" s="220">
        <v>31.48</v>
      </c>
      <c r="T147" s="220">
        <v>78.94</v>
      </c>
      <c r="U147" s="220">
        <v>71.02</v>
      </c>
      <c r="V147" s="229" t="s">
        <v>386</v>
      </c>
      <c r="W147" s="220" t="s">
        <v>386</v>
      </c>
      <c r="X147" s="220" t="s">
        <v>386</v>
      </c>
      <c r="Y147" s="220" t="s">
        <v>386</v>
      </c>
      <c r="Z147" s="224" t="s">
        <v>386</v>
      </c>
      <c r="AA147" s="363" t="s">
        <v>386</v>
      </c>
      <c r="AB147" s="363" t="s">
        <v>386</v>
      </c>
      <c r="AC147" s="363" t="s">
        <v>386</v>
      </c>
      <c r="AD147" s="363" t="s">
        <v>386</v>
      </c>
      <c r="AE147" s="363" t="s">
        <v>386</v>
      </c>
      <c r="AF147" s="362" t="s">
        <v>386</v>
      </c>
      <c r="AG147" s="363" t="s">
        <v>386</v>
      </c>
      <c r="AH147" s="363" t="s">
        <v>386</v>
      </c>
      <c r="AI147" s="363" t="s">
        <v>386</v>
      </c>
      <c r="AJ147" s="364" t="s">
        <v>386</v>
      </c>
      <c r="AK147" s="363">
        <v>1560.67</v>
      </c>
      <c r="AL147" s="363">
        <v>757.6</v>
      </c>
      <c r="AM147" s="363">
        <v>949.4</v>
      </c>
      <c r="AN147" s="363">
        <v>1072.0999999999999</v>
      </c>
      <c r="AO147" s="363">
        <v>960.16</v>
      </c>
      <c r="AP147" s="362" t="s">
        <v>386</v>
      </c>
      <c r="AQ147" s="363" t="s">
        <v>386</v>
      </c>
      <c r="AR147" s="363" t="s">
        <v>386</v>
      </c>
      <c r="AS147" s="363" t="s">
        <v>386</v>
      </c>
      <c r="AT147" s="364" t="s">
        <v>386</v>
      </c>
      <c r="AU147" s="363" t="s">
        <v>386</v>
      </c>
      <c r="AV147" s="363" t="s">
        <v>386</v>
      </c>
      <c r="AW147" s="363" t="s">
        <v>386</v>
      </c>
      <c r="AX147" s="363" t="s">
        <v>386</v>
      </c>
      <c r="AY147" s="363" t="s">
        <v>386</v>
      </c>
      <c r="AZ147" s="362" t="s">
        <v>386</v>
      </c>
      <c r="BA147" s="363" t="s">
        <v>386</v>
      </c>
      <c r="BB147" s="363" t="s">
        <v>386</v>
      </c>
      <c r="BC147" s="363" t="s">
        <v>386</v>
      </c>
      <c r="BD147" s="364" t="s">
        <v>386</v>
      </c>
      <c r="BE147" s="220" t="s">
        <v>386</v>
      </c>
      <c r="BF147" s="220" t="s">
        <v>386</v>
      </c>
      <c r="BG147" s="220" t="s">
        <v>386</v>
      </c>
      <c r="BH147" s="220" t="s">
        <v>386</v>
      </c>
      <c r="BI147" s="220" t="s">
        <v>386</v>
      </c>
      <c r="BJ147" s="229" t="s">
        <v>386</v>
      </c>
      <c r="BK147" s="220" t="s">
        <v>386</v>
      </c>
      <c r="BL147" s="220" t="s">
        <v>386</v>
      </c>
      <c r="BM147" s="220" t="s">
        <v>386</v>
      </c>
      <c r="BN147" s="224" t="s">
        <v>386</v>
      </c>
      <c r="BO147" s="220" t="s">
        <v>386</v>
      </c>
      <c r="BP147" s="220" t="s">
        <v>386</v>
      </c>
      <c r="BQ147" s="220" t="s">
        <v>386</v>
      </c>
      <c r="BR147" s="220" t="s">
        <v>386</v>
      </c>
      <c r="BS147" s="224" t="s">
        <v>386</v>
      </c>
      <c r="BT147" s="363" t="s">
        <v>386</v>
      </c>
      <c r="BU147" s="363" t="s">
        <v>386</v>
      </c>
      <c r="BV147" s="363" t="s">
        <v>386</v>
      </c>
      <c r="BW147" s="363" t="s">
        <v>386</v>
      </c>
      <c r="BX147" s="364" t="s">
        <v>386</v>
      </c>
      <c r="BY147" s="363" t="s">
        <v>386</v>
      </c>
      <c r="BZ147" s="363" t="s">
        <v>386</v>
      </c>
      <c r="CA147" s="363" t="s">
        <v>386</v>
      </c>
      <c r="CB147" s="363" t="s">
        <v>386</v>
      </c>
      <c r="CC147" s="363" t="s">
        <v>386</v>
      </c>
      <c r="CD147" s="229" t="s">
        <v>386</v>
      </c>
      <c r="CE147" s="220" t="s">
        <v>386</v>
      </c>
      <c r="CF147" s="220" t="s">
        <v>386</v>
      </c>
      <c r="CG147" s="220" t="s">
        <v>386</v>
      </c>
      <c r="CH147" s="224" t="s">
        <v>386</v>
      </c>
    </row>
    <row r="148" spans="1:86" x14ac:dyDescent="0.25">
      <c r="A148" s="223" t="s">
        <v>257</v>
      </c>
      <c r="B148" s="229">
        <v>48.44</v>
      </c>
      <c r="C148" s="220">
        <v>25.400000000000002</v>
      </c>
      <c r="D148" s="220">
        <v>26.27</v>
      </c>
      <c r="E148" s="220">
        <v>52.51</v>
      </c>
      <c r="F148" s="224">
        <v>36.35</v>
      </c>
      <c r="G148" s="363" t="s">
        <v>386</v>
      </c>
      <c r="H148" s="363" t="s">
        <v>386</v>
      </c>
      <c r="I148" s="363" t="s">
        <v>386</v>
      </c>
      <c r="J148" s="363" t="s">
        <v>386</v>
      </c>
      <c r="K148" s="363" t="s">
        <v>386</v>
      </c>
      <c r="L148" s="229">
        <v>171.77</v>
      </c>
      <c r="M148" s="220">
        <v>158.18</v>
      </c>
      <c r="N148" s="220">
        <v>190.4</v>
      </c>
      <c r="O148" s="220">
        <v>204.22</v>
      </c>
      <c r="P148" s="224">
        <v>178.17000000000002</v>
      </c>
      <c r="Q148" s="220">
        <v>121.41000000000001</v>
      </c>
      <c r="R148" s="220">
        <v>98.36</v>
      </c>
      <c r="S148" s="220">
        <v>114.28</v>
      </c>
      <c r="T148" s="220">
        <v>120.67999999999999</v>
      </c>
      <c r="U148" s="220">
        <v>119.9</v>
      </c>
      <c r="V148" s="229">
        <v>62.8</v>
      </c>
      <c r="W148" s="220">
        <v>62.4</v>
      </c>
      <c r="X148" s="220">
        <v>55.2</v>
      </c>
      <c r="Y148" s="220">
        <v>63</v>
      </c>
      <c r="Z148" s="224">
        <v>55.2</v>
      </c>
      <c r="AA148" s="363" t="s">
        <v>386</v>
      </c>
      <c r="AB148" s="363" t="s">
        <v>386</v>
      </c>
      <c r="AC148" s="363" t="s">
        <v>386</v>
      </c>
      <c r="AD148" s="363" t="s">
        <v>386</v>
      </c>
      <c r="AE148" s="363" t="s">
        <v>386</v>
      </c>
      <c r="AF148" s="362" t="s">
        <v>386</v>
      </c>
      <c r="AG148" s="363" t="s">
        <v>386</v>
      </c>
      <c r="AH148" s="363" t="s">
        <v>386</v>
      </c>
      <c r="AI148" s="363" t="s">
        <v>386</v>
      </c>
      <c r="AJ148" s="364" t="s">
        <v>386</v>
      </c>
      <c r="AK148" s="220">
        <v>1560.67</v>
      </c>
      <c r="AL148" s="220">
        <v>916.8</v>
      </c>
      <c r="AM148" s="220">
        <v>916.8</v>
      </c>
      <c r="AN148" s="220">
        <v>1072.0999999999999</v>
      </c>
      <c r="AO148" s="220">
        <v>916.8</v>
      </c>
      <c r="AP148" s="362" t="s">
        <v>386</v>
      </c>
      <c r="AQ148" s="363" t="s">
        <v>386</v>
      </c>
      <c r="AR148" s="363" t="s">
        <v>386</v>
      </c>
      <c r="AS148" s="363" t="s">
        <v>386</v>
      </c>
      <c r="AT148" s="364" t="s">
        <v>386</v>
      </c>
      <c r="AU148" s="363" t="s">
        <v>386</v>
      </c>
      <c r="AV148" s="363" t="s">
        <v>386</v>
      </c>
      <c r="AW148" s="363" t="s">
        <v>386</v>
      </c>
      <c r="AX148" s="363" t="s">
        <v>386</v>
      </c>
      <c r="AY148" s="363" t="s">
        <v>386</v>
      </c>
      <c r="AZ148" s="229" t="s">
        <v>386</v>
      </c>
      <c r="BA148" s="220" t="s">
        <v>386</v>
      </c>
      <c r="BB148" s="220" t="s">
        <v>386</v>
      </c>
      <c r="BC148" s="220" t="s">
        <v>386</v>
      </c>
      <c r="BD148" s="224" t="s">
        <v>386</v>
      </c>
      <c r="BE148" s="363" t="s">
        <v>386</v>
      </c>
      <c r="BF148" s="363" t="s">
        <v>386</v>
      </c>
      <c r="BG148" s="363" t="s">
        <v>386</v>
      </c>
      <c r="BH148" s="363" t="s">
        <v>386</v>
      </c>
      <c r="BI148" s="363" t="s">
        <v>386</v>
      </c>
      <c r="BJ148" s="229" t="s">
        <v>386</v>
      </c>
      <c r="BK148" s="220" t="s">
        <v>386</v>
      </c>
      <c r="BL148" s="220" t="s">
        <v>386</v>
      </c>
      <c r="BM148" s="220" t="s">
        <v>386</v>
      </c>
      <c r="BN148" s="224" t="s">
        <v>386</v>
      </c>
      <c r="BO148" s="220" t="s">
        <v>386</v>
      </c>
      <c r="BP148" s="220" t="s">
        <v>386</v>
      </c>
      <c r="BQ148" s="220" t="s">
        <v>386</v>
      </c>
      <c r="BR148" s="220" t="s">
        <v>386</v>
      </c>
      <c r="BS148" s="224" t="s">
        <v>386</v>
      </c>
      <c r="BT148" s="363" t="s">
        <v>386</v>
      </c>
      <c r="BU148" s="363" t="s">
        <v>386</v>
      </c>
      <c r="BV148" s="363" t="s">
        <v>386</v>
      </c>
      <c r="BW148" s="363" t="s">
        <v>386</v>
      </c>
      <c r="BX148" s="364" t="s">
        <v>386</v>
      </c>
      <c r="BY148" s="363" t="s">
        <v>386</v>
      </c>
      <c r="BZ148" s="363" t="s">
        <v>386</v>
      </c>
      <c r="CA148" s="363" t="s">
        <v>386</v>
      </c>
      <c r="CB148" s="363" t="s">
        <v>386</v>
      </c>
      <c r="CC148" s="363" t="s">
        <v>386</v>
      </c>
      <c r="CD148" s="362" t="s">
        <v>386</v>
      </c>
      <c r="CE148" s="363" t="s">
        <v>386</v>
      </c>
      <c r="CF148" s="363" t="s">
        <v>386</v>
      </c>
      <c r="CG148" s="363" t="s">
        <v>386</v>
      </c>
      <c r="CH148" s="364" t="s">
        <v>386</v>
      </c>
    </row>
    <row r="149" spans="1:86" x14ac:dyDescent="0.25">
      <c r="A149" s="223" t="s">
        <v>258</v>
      </c>
      <c r="B149" s="229">
        <v>27.99</v>
      </c>
      <c r="C149" s="220">
        <v>19.099999999999998</v>
      </c>
      <c r="D149" s="220">
        <v>31.22</v>
      </c>
      <c r="E149" s="220">
        <v>26.62</v>
      </c>
      <c r="F149" s="224">
        <v>19.48</v>
      </c>
      <c r="G149" s="363" t="s">
        <v>386</v>
      </c>
      <c r="H149" s="363" t="s">
        <v>386</v>
      </c>
      <c r="I149" s="363" t="s">
        <v>386</v>
      </c>
      <c r="J149" s="363" t="s">
        <v>386</v>
      </c>
      <c r="K149" s="363" t="s">
        <v>386</v>
      </c>
      <c r="L149" s="229">
        <v>129.9</v>
      </c>
      <c r="M149" s="220">
        <v>135.12</v>
      </c>
      <c r="N149" s="220">
        <v>169.63</v>
      </c>
      <c r="O149" s="220">
        <v>189.1</v>
      </c>
      <c r="P149" s="224">
        <v>138.27000000000001</v>
      </c>
      <c r="Q149" s="220">
        <v>22.97</v>
      </c>
      <c r="R149" s="220">
        <v>13.6</v>
      </c>
      <c r="S149" s="220">
        <v>36.270000000000003</v>
      </c>
      <c r="T149" s="220">
        <v>53.24</v>
      </c>
      <c r="U149" s="220">
        <v>36.03</v>
      </c>
      <c r="V149" s="229">
        <v>55.77</v>
      </c>
      <c r="W149" s="220">
        <v>15.2</v>
      </c>
      <c r="X149" s="220">
        <v>26.66</v>
      </c>
      <c r="Y149" s="220">
        <v>63</v>
      </c>
      <c r="Z149" s="224">
        <v>34.340000000000003</v>
      </c>
      <c r="AA149" s="220" t="s">
        <v>386</v>
      </c>
      <c r="AB149" s="220" t="s">
        <v>386</v>
      </c>
      <c r="AC149" s="220" t="s">
        <v>386</v>
      </c>
      <c r="AD149" s="220" t="s">
        <v>386</v>
      </c>
      <c r="AE149" s="220" t="s">
        <v>386</v>
      </c>
      <c r="AF149" s="229">
        <v>31</v>
      </c>
      <c r="AG149" s="220">
        <v>28</v>
      </c>
      <c r="AH149" s="220">
        <v>26</v>
      </c>
      <c r="AI149" s="220">
        <v>26</v>
      </c>
      <c r="AJ149" s="224">
        <v>28</v>
      </c>
      <c r="AK149" s="220">
        <v>1560.67</v>
      </c>
      <c r="AL149" s="220">
        <v>927.2</v>
      </c>
      <c r="AM149" s="220">
        <v>1077.8900000000001</v>
      </c>
      <c r="AN149" s="220">
        <v>1072.0999999999999</v>
      </c>
      <c r="AO149" s="220">
        <v>927.2</v>
      </c>
      <c r="AP149" s="229">
        <v>1407.73</v>
      </c>
      <c r="AQ149" s="220">
        <v>1089.5999999999999</v>
      </c>
      <c r="AR149" s="220">
        <v>1721.78</v>
      </c>
      <c r="AS149" s="220">
        <v>1721.78</v>
      </c>
      <c r="AT149" s="224">
        <v>1432.35</v>
      </c>
      <c r="AU149" s="220">
        <v>1080.79</v>
      </c>
      <c r="AV149" s="220">
        <v>1018.4</v>
      </c>
      <c r="AW149" s="220">
        <v>1159.27</v>
      </c>
      <c r="AX149" s="220">
        <v>1399.2</v>
      </c>
      <c r="AY149" s="220">
        <v>1441.55</v>
      </c>
      <c r="AZ149" s="229">
        <v>1586.43</v>
      </c>
      <c r="BA149" s="220">
        <v>824.8</v>
      </c>
      <c r="BB149" s="220">
        <v>950.98</v>
      </c>
      <c r="BC149" s="220">
        <v>1382.05</v>
      </c>
      <c r="BD149" s="224">
        <v>1112.6500000000001</v>
      </c>
      <c r="BE149" s="220">
        <v>871.5</v>
      </c>
      <c r="BF149" s="220">
        <v>599.20000000000005</v>
      </c>
      <c r="BG149" s="220">
        <v>652.5</v>
      </c>
      <c r="BH149" s="220">
        <v>842.67</v>
      </c>
      <c r="BI149" s="220">
        <v>992.95</v>
      </c>
      <c r="BJ149" s="229" t="s">
        <v>386</v>
      </c>
      <c r="BK149" s="220" t="s">
        <v>386</v>
      </c>
      <c r="BL149" s="220" t="s">
        <v>386</v>
      </c>
      <c r="BM149" s="220" t="s">
        <v>386</v>
      </c>
      <c r="BN149" s="224" t="s">
        <v>386</v>
      </c>
      <c r="BO149" s="220" t="s">
        <v>386</v>
      </c>
      <c r="BP149" s="220" t="s">
        <v>386</v>
      </c>
      <c r="BQ149" s="220" t="s">
        <v>386</v>
      </c>
      <c r="BR149" s="220" t="s">
        <v>386</v>
      </c>
      <c r="BS149" s="224" t="s">
        <v>386</v>
      </c>
      <c r="BT149" s="220" t="s">
        <v>386</v>
      </c>
      <c r="BU149" s="220" t="s">
        <v>386</v>
      </c>
      <c r="BV149" s="220" t="s">
        <v>386</v>
      </c>
      <c r="BW149" s="220" t="s">
        <v>386</v>
      </c>
      <c r="BX149" s="224" t="s">
        <v>386</v>
      </c>
      <c r="BY149" s="220">
        <v>1666.14</v>
      </c>
      <c r="BZ149" s="220">
        <v>845.6</v>
      </c>
      <c r="CA149" s="220">
        <v>845.6</v>
      </c>
      <c r="CB149" s="220">
        <v>1745.62</v>
      </c>
      <c r="CC149" s="220">
        <v>957.18</v>
      </c>
      <c r="CD149" s="362" t="s">
        <v>386</v>
      </c>
      <c r="CE149" s="363" t="s">
        <v>386</v>
      </c>
      <c r="CF149" s="363" t="s">
        <v>386</v>
      </c>
      <c r="CG149" s="363" t="s">
        <v>386</v>
      </c>
      <c r="CH149" s="364" t="s">
        <v>386</v>
      </c>
    </row>
    <row r="150" spans="1:86" x14ac:dyDescent="0.25">
      <c r="A150" s="223" t="s">
        <v>259</v>
      </c>
      <c r="B150" s="229">
        <v>59.3</v>
      </c>
      <c r="C150" s="220">
        <v>36.400000000000006</v>
      </c>
      <c r="D150" s="220">
        <v>36.96</v>
      </c>
      <c r="E150" s="220">
        <v>66.150000000000006</v>
      </c>
      <c r="F150" s="224">
        <v>38.08</v>
      </c>
      <c r="G150" s="363" t="s">
        <v>386</v>
      </c>
      <c r="H150" s="363" t="s">
        <v>386</v>
      </c>
      <c r="I150" s="363" t="s">
        <v>386</v>
      </c>
      <c r="J150" s="363" t="s">
        <v>386</v>
      </c>
      <c r="K150" s="363" t="s">
        <v>386</v>
      </c>
      <c r="L150" s="229">
        <v>164.04</v>
      </c>
      <c r="M150" s="220">
        <v>175.52</v>
      </c>
      <c r="N150" s="220">
        <v>169.29</v>
      </c>
      <c r="O150" s="220">
        <v>188.78</v>
      </c>
      <c r="P150" s="224">
        <v>162.86000000000001</v>
      </c>
      <c r="Q150" s="220">
        <v>72.88</v>
      </c>
      <c r="R150" s="220">
        <v>33.4</v>
      </c>
      <c r="S150" s="220">
        <v>33.76</v>
      </c>
      <c r="T150" s="220">
        <v>48.78</v>
      </c>
      <c r="U150" s="220">
        <v>47.660000000000004</v>
      </c>
      <c r="V150" s="229">
        <v>44.97</v>
      </c>
      <c r="W150" s="220">
        <v>18.739999999999998</v>
      </c>
      <c r="X150" s="220">
        <v>26.66</v>
      </c>
      <c r="Y150" s="220">
        <v>63</v>
      </c>
      <c r="Z150" s="224">
        <v>34.340000000000003</v>
      </c>
      <c r="AA150" s="363" t="s">
        <v>386</v>
      </c>
      <c r="AB150" s="363" t="s">
        <v>386</v>
      </c>
      <c r="AC150" s="363" t="s">
        <v>386</v>
      </c>
      <c r="AD150" s="363" t="s">
        <v>386</v>
      </c>
      <c r="AE150" s="363" t="s">
        <v>386</v>
      </c>
      <c r="AF150" s="362" t="s">
        <v>386</v>
      </c>
      <c r="AG150" s="363" t="s">
        <v>386</v>
      </c>
      <c r="AH150" s="363" t="s">
        <v>386</v>
      </c>
      <c r="AI150" s="363" t="s">
        <v>386</v>
      </c>
      <c r="AJ150" s="364" t="s">
        <v>386</v>
      </c>
      <c r="AK150" s="220">
        <v>1632.49</v>
      </c>
      <c r="AL150" s="220">
        <v>781.5</v>
      </c>
      <c r="AM150" s="220">
        <v>1145.8499999999999</v>
      </c>
      <c r="AN150" s="220">
        <v>986.52</v>
      </c>
      <c r="AO150" s="220">
        <v>1306.6199999999999</v>
      </c>
      <c r="AP150" s="362" t="s">
        <v>386</v>
      </c>
      <c r="AQ150" s="363" t="s">
        <v>386</v>
      </c>
      <c r="AR150" s="363" t="s">
        <v>386</v>
      </c>
      <c r="AS150" s="363" t="s">
        <v>386</v>
      </c>
      <c r="AT150" s="364" t="s">
        <v>386</v>
      </c>
      <c r="AU150" s="220">
        <v>3070.74</v>
      </c>
      <c r="AV150" s="220">
        <v>863.2</v>
      </c>
      <c r="AW150" s="220">
        <v>1186.8699999999999</v>
      </c>
      <c r="AX150" s="220">
        <v>1873.97</v>
      </c>
      <c r="AY150" s="220">
        <v>1500.54</v>
      </c>
      <c r="AZ150" s="229">
        <v>1358.04</v>
      </c>
      <c r="BA150" s="220">
        <v>636</v>
      </c>
      <c r="BB150" s="220">
        <v>541.6</v>
      </c>
      <c r="BC150" s="220">
        <v>1035.8599999999999</v>
      </c>
      <c r="BD150" s="224">
        <v>715.86</v>
      </c>
      <c r="BE150" s="363" t="s">
        <v>386</v>
      </c>
      <c r="BF150" s="363" t="s">
        <v>386</v>
      </c>
      <c r="BG150" s="363" t="s">
        <v>386</v>
      </c>
      <c r="BH150" s="363" t="s">
        <v>386</v>
      </c>
      <c r="BI150" s="363" t="s">
        <v>386</v>
      </c>
      <c r="BJ150" s="362" t="s">
        <v>386</v>
      </c>
      <c r="BK150" s="363" t="s">
        <v>386</v>
      </c>
      <c r="BL150" s="363" t="s">
        <v>386</v>
      </c>
      <c r="BM150" s="363" t="s">
        <v>386</v>
      </c>
      <c r="BN150" s="364" t="s">
        <v>386</v>
      </c>
      <c r="BO150" s="363" t="s">
        <v>386</v>
      </c>
      <c r="BP150" s="363" t="s">
        <v>386</v>
      </c>
      <c r="BQ150" s="363" t="s">
        <v>386</v>
      </c>
      <c r="BR150" s="363" t="s">
        <v>386</v>
      </c>
      <c r="BS150" s="364" t="s">
        <v>386</v>
      </c>
      <c r="BT150" s="220" t="s">
        <v>386</v>
      </c>
      <c r="BU150" s="220" t="s">
        <v>386</v>
      </c>
      <c r="BV150" s="220" t="s">
        <v>386</v>
      </c>
      <c r="BW150" s="220" t="s">
        <v>386</v>
      </c>
      <c r="BX150" s="224" t="s">
        <v>386</v>
      </c>
      <c r="BY150" s="220">
        <v>1645.23</v>
      </c>
      <c r="BZ150" s="220">
        <v>790.85</v>
      </c>
      <c r="CA150" s="220">
        <v>885.6</v>
      </c>
      <c r="CB150" s="220">
        <v>1283.76</v>
      </c>
      <c r="CC150" s="220">
        <v>1183.06</v>
      </c>
      <c r="CD150" s="362" t="s">
        <v>386</v>
      </c>
      <c r="CE150" s="363" t="s">
        <v>386</v>
      </c>
      <c r="CF150" s="363" t="s">
        <v>386</v>
      </c>
      <c r="CG150" s="363" t="s">
        <v>386</v>
      </c>
      <c r="CH150" s="364" t="s">
        <v>386</v>
      </c>
    </row>
    <row r="151" spans="1:86" x14ac:dyDescent="0.25">
      <c r="A151" s="223" t="s">
        <v>260</v>
      </c>
      <c r="B151" s="229">
        <v>98.539999999999992</v>
      </c>
      <c r="C151" s="220">
        <v>69.459999999999994</v>
      </c>
      <c r="D151" s="220">
        <v>70.48</v>
      </c>
      <c r="E151" s="220">
        <v>109.72</v>
      </c>
      <c r="F151" s="224">
        <v>86.04</v>
      </c>
      <c r="G151" s="363" t="s">
        <v>386</v>
      </c>
      <c r="H151" s="363" t="s">
        <v>386</v>
      </c>
      <c r="I151" s="363" t="s">
        <v>386</v>
      </c>
      <c r="J151" s="363" t="s">
        <v>386</v>
      </c>
      <c r="K151" s="363" t="s">
        <v>386</v>
      </c>
      <c r="L151" s="229">
        <v>164.04</v>
      </c>
      <c r="M151" s="220">
        <v>175.52</v>
      </c>
      <c r="N151" s="220">
        <v>169.29</v>
      </c>
      <c r="O151" s="220">
        <v>188.78</v>
      </c>
      <c r="P151" s="224">
        <v>162.86000000000001</v>
      </c>
      <c r="Q151" s="220">
        <v>102.47999999999999</v>
      </c>
      <c r="R151" s="220">
        <v>68</v>
      </c>
      <c r="S151" s="220">
        <v>67.52</v>
      </c>
      <c r="T151" s="220">
        <v>112.00999999999999</v>
      </c>
      <c r="U151" s="220">
        <v>98.56</v>
      </c>
      <c r="V151" s="229">
        <v>78.460000000000008</v>
      </c>
      <c r="W151" s="220">
        <v>51.2</v>
      </c>
      <c r="X151" s="220">
        <v>48</v>
      </c>
      <c r="Y151" s="220">
        <v>96</v>
      </c>
      <c r="Z151" s="224">
        <v>62.629999999999995</v>
      </c>
      <c r="AA151" s="363">
        <v>31.990000000000002</v>
      </c>
      <c r="AB151" s="363">
        <v>25.6</v>
      </c>
      <c r="AC151" s="363">
        <v>24</v>
      </c>
      <c r="AD151" s="363">
        <v>24</v>
      </c>
      <c r="AE151" s="363">
        <v>20.8</v>
      </c>
      <c r="AF151" s="362" t="s">
        <v>386</v>
      </c>
      <c r="AG151" s="363" t="s">
        <v>386</v>
      </c>
      <c r="AH151" s="363" t="s">
        <v>386</v>
      </c>
      <c r="AI151" s="363" t="s">
        <v>386</v>
      </c>
      <c r="AJ151" s="364" t="s">
        <v>386</v>
      </c>
      <c r="AK151" s="220">
        <v>3354.66</v>
      </c>
      <c r="AL151" s="220">
        <v>1545.87</v>
      </c>
      <c r="AM151" s="220">
        <v>1730.42</v>
      </c>
      <c r="AN151" s="220">
        <v>2440.0500000000002</v>
      </c>
      <c r="AO151" s="220">
        <v>1740.19</v>
      </c>
      <c r="AP151" s="362">
        <v>1407.73</v>
      </c>
      <c r="AQ151" s="363">
        <v>965.57</v>
      </c>
      <c r="AR151" s="363">
        <v>1721.78</v>
      </c>
      <c r="AS151" s="363">
        <v>1721.78</v>
      </c>
      <c r="AT151" s="364">
        <v>1432.35</v>
      </c>
      <c r="AU151" s="220">
        <v>4490.4400000000005</v>
      </c>
      <c r="AV151" s="220">
        <v>1744</v>
      </c>
      <c r="AW151" s="220">
        <v>2168</v>
      </c>
      <c r="AX151" s="220">
        <v>4091.23</v>
      </c>
      <c r="AY151" s="220">
        <v>2696.19</v>
      </c>
      <c r="AZ151" s="229">
        <v>2887</v>
      </c>
      <c r="BA151" s="220">
        <v>1155.2</v>
      </c>
      <c r="BB151" s="220">
        <v>1448</v>
      </c>
      <c r="BC151" s="220">
        <v>2595.9300000000003</v>
      </c>
      <c r="BD151" s="224">
        <v>1796.49</v>
      </c>
      <c r="BE151" s="220">
        <v>1774.88</v>
      </c>
      <c r="BF151" s="220">
        <v>1523.2</v>
      </c>
      <c r="BG151" s="220">
        <v>1504</v>
      </c>
      <c r="BH151" s="220">
        <v>1833.27</v>
      </c>
      <c r="BI151" s="220">
        <v>1803.17</v>
      </c>
      <c r="BJ151" s="229">
        <v>914.03</v>
      </c>
      <c r="BK151" s="220">
        <v>493.6</v>
      </c>
      <c r="BL151" s="220">
        <v>590.4</v>
      </c>
      <c r="BM151" s="220">
        <v>588</v>
      </c>
      <c r="BN151" s="224">
        <v>584.79999999999995</v>
      </c>
      <c r="BO151" s="220" t="s">
        <v>386</v>
      </c>
      <c r="BP151" s="220" t="s">
        <v>386</v>
      </c>
      <c r="BQ151" s="220" t="s">
        <v>386</v>
      </c>
      <c r="BR151" s="220" t="s">
        <v>386</v>
      </c>
      <c r="BS151" s="224" t="s">
        <v>386</v>
      </c>
      <c r="BT151" s="220" t="s">
        <v>386</v>
      </c>
      <c r="BU151" s="220" t="s">
        <v>386</v>
      </c>
      <c r="BV151" s="220" t="s">
        <v>386</v>
      </c>
      <c r="BW151" s="220" t="s">
        <v>386</v>
      </c>
      <c r="BX151" s="224" t="s">
        <v>386</v>
      </c>
      <c r="BY151" s="220">
        <v>3653.8199999999997</v>
      </c>
      <c r="BZ151" s="220">
        <v>1485.52</v>
      </c>
      <c r="CA151" s="220">
        <v>2203.1999999999998</v>
      </c>
      <c r="CB151" s="220">
        <v>2673.0699999999997</v>
      </c>
      <c r="CC151" s="220">
        <v>2198.4</v>
      </c>
      <c r="CD151" s="229">
        <v>1138.8800000000001</v>
      </c>
      <c r="CE151" s="220">
        <v>748</v>
      </c>
      <c r="CF151" s="220">
        <v>943.2</v>
      </c>
      <c r="CG151" s="220">
        <v>1009.6</v>
      </c>
      <c r="CH151" s="224">
        <v>1134.97</v>
      </c>
    </row>
    <row r="152" spans="1:86" x14ac:dyDescent="0.25">
      <c r="A152" s="223" t="s">
        <v>261</v>
      </c>
      <c r="B152" s="229">
        <v>29.33</v>
      </c>
      <c r="C152" s="220">
        <v>21.25</v>
      </c>
      <c r="D152" s="220">
        <v>39.24</v>
      </c>
      <c r="E152" s="220">
        <v>43.43</v>
      </c>
      <c r="F152" s="224">
        <v>26.13</v>
      </c>
      <c r="G152" s="363">
        <v>33.090000000000003</v>
      </c>
      <c r="H152" s="363">
        <v>33.659999999999997</v>
      </c>
      <c r="I152" s="363">
        <v>38.53</v>
      </c>
      <c r="J152" s="363">
        <v>34</v>
      </c>
      <c r="K152" s="363">
        <v>28.23</v>
      </c>
      <c r="L152" s="229">
        <v>198.82999999999998</v>
      </c>
      <c r="M152" s="220">
        <v>198.89000000000001</v>
      </c>
      <c r="N152" s="220">
        <v>168.43</v>
      </c>
      <c r="O152" s="220">
        <v>185.70000000000002</v>
      </c>
      <c r="P152" s="224">
        <v>135.96</v>
      </c>
      <c r="Q152" s="220" t="s">
        <v>386</v>
      </c>
      <c r="R152" s="220" t="s">
        <v>386</v>
      </c>
      <c r="S152" s="220" t="s">
        <v>386</v>
      </c>
      <c r="T152" s="220" t="s">
        <v>386</v>
      </c>
      <c r="U152" s="220" t="s">
        <v>386</v>
      </c>
      <c r="V152" s="229">
        <v>44.97</v>
      </c>
      <c r="W152" s="220">
        <v>23.2</v>
      </c>
      <c r="X152" s="220">
        <v>48.8</v>
      </c>
      <c r="Y152" s="220">
        <v>63</v>
      </c>
      <c r="Z152" s="224">
        <v>48.8</v>
      </c>
      <c r="AA152" s="363" t="s">
        <v>386</v>
      </c>
      <c r="AB152" s="363" t="s">
        <v>386</v>
      </c>
      <c r="AC152" s="363" t="s">
        <v>386</v>
      </c>
      <c r="AD152" s="363" t="s">
        <v>386</v>
      </c>
      <c r="AE152" s="363" t="s">
        <v>386</v>
      </c>
      <c r="AF152" s="362">
        <v>31</v>
      </c>
      <c r="AG152" s="363">
        <v>28</v>
      </c>
      <c r="AH152" s="363">
        <v>26</v>
      </c>
      <c r="AI152" s="363">
        <v>28.43</v>
      </c>
      <c r="AJ152" s="364">
        <v>28</v>
      </c>
      <c r="AK152" s="363" t="s">
        <v>386</v>
      </c>
      <c r="AL152" s="363" t="s">
        <v>386</v>
      </c>
      <c r="AM152" s="363" t="s">
        <v>386</v>
      </c>
      <c r="AN152" s="363" t="s">
        <v>386</v>
      </c>
      <c r="AO152" s="363" t="s">
        <v>386</v>
      </c>
      <c r="AP152" s="362" t="s">
        <v>386</v>
      </c>
      <c r="AQ152" s="363" t="s">
        <v>386</v>
      </c>
      <c r="AR152" s="363" t="s">
        <v>386</v>
      </c>
      <c r="AS152" s="363" t="s">
        <v>386</v>
      </c>
      <c r="AT152" s="364" t="s">
        <v>386</v>
      </c>
      <c r="AU152" s="363">
        <v>1604.03</v>
      </c>
      <c r="AV152" s="363">
        <v>858.6</v>
      </c>
      <c r="AW152" s="363">
        <v>1159.27</v>
      </c>
      <c r="AX152" s="363">
        <v>1905.16</v>
      </c>
      <c r="AY152" s="363">
        <v>1663.37</v>
      </c>
      <c r="AZ152" s="362" t="s">
        <v>386</v>
      </c>
      <c r="BA152" s="363" t="s">
        <v>386</v>
      </c>
      <c r="BB152" s="363" t="s">
        <v>386</v>
      </c>
      <c r="BC152" s="363" t="s">
        <v>386</v>
      </c>
      <c r="BD152" s="364" t="s">
        <v>386</v>
      </c>
      <c r="BE152" s="363" t="s">
        <v>386</v>
      </c>
      <c r="BF152" s="363" t="s">
        <v>386</v>
      </c>
      <c r="BG152" s="363" t="s">
        <v>386</v>
      </c>
      <c r="BH152" s="363" t="s">
        <v>386</v>
      </c>
      <c r="BI152" s="363" t="s">
        <v>386</v>
      </c>
      <c r="BJ152" s="362" t="s">
        <v>386</v>
      </c>
      <c r="BK152" s="363" t="s">
        <v>386</v>
      </c>
      <c r="BL152" s="363" t="s">
        <v>386</v>
      </c>
      <c r="BM152" s="363" t="s">
        <v>386</v>
      </c>
      <c r="BN152" s="364" t="s">
        <v>386</v>
      </c>
      <c r="BO152" s="363" t="s">
        <v>386</v>
      </c>
      <c r="BP152" s="363" t="s">
        <v>386</v>
      </c>
      <c r="BQ152" s="363" t="s">
        <v>386</v>
      </c>
      <c r="BR152" s="363" t="s">
        <v>386</v>
      </c>
      <c r="BS152" s="364" t="s">
        <v>386</v>
      </c>
      <c r="BT152" s="363" t="s">
        <v>386</v>
      </c>
      <c r="BU152" s="363" t="s">
        <v>386</v>
      </c>
      <c r="BV152" s="363" t="s">
        <v>386</v>
      </c>
      <c r="BW152" s="363" t="s">
        <v>386</v>
      </c>
      <c r="BX152" s="364" t="s">
        <v>386</v>
      </c>
      <c r="BY152" s="363" t="s">
        <v>386</v>
      </c>
      <c r="BZ152" s="363" t="s">
        <v>386</v>
      </c>
      <c r="CA152" s="363" t="s">
        <v>386</v>
      </c>
      <c r="CB152" s="363" t="s">
        <v>386</v>
      </c>
      <c r="CC152" s="363" t="s">
        <v>386</v>
      </c>
      <c r="CD152" s="362" t="s">
        <v>386</v>
      </c>
      <c r="CE152" s="363" t="s">
        <v>386</v>
      </c>
      <c r="CF152" s="363" t="s">
        <v>386</v>
      </c>
      <c r="CG152" s="363" t="s">
        <v>386</v>
      </c>
      <c r="CH152" s="364" t="s">
        <v>386</v>
      </c>
    </row>
    <row r="153" spans="1:86" x14ac:dyDescent="0.25">
      <c r="A153" s="223" t="s">
        <v>262</v>
      </c>
      <c r="B153" s="229">
        <v>43.790000000000006</v>
      </c>
      <c r="C153" s="220">
        <v>25</v>
      </c>
      <c r="D153" s="220">
        <v>26.67</v>
      </c>
      <c r="E153" s="220">
        <v>30.040000000000003</v>
      </c>
      <c r="F153" s="224">
        <v>25.2</v>
      </c>
      <c r="G153" s="363" t="s">
        <v>386</v>
      </c>
      <c r="H153" s="363" t="s">
        <v>386</v>
      </c>
      <c r="I153" s="363" t="s">
        <v>386</v>
      </c>
      <c r="J153" s="363" t="s">
        <v>386</v>
      </c>
      <c r="K153" s="363" t="s">
        <v>386</v>
      </c>
      <c r="L153" s="229">
        <v>143.88</v>
      </c>
      <c r="M153" s="220">
        <v>182.65</v>
      </c>
      <c r="N153" s="220">
        <v>158.69999999999999</v>
      </c>
      <c r="O153" s="220">
        <v>164.33</v>
      </c>
      <c r="P153" s="224">
        <v>162.86000000000001</v>
      </c>
      <c r="Q153" s="220">
        <v>62.94</v>
      </c>
      <c r="R153" s="220">
        <v>21.6</v>
      </c>
      <c r="S153" s="220">
        <v>37.520000000000003</v>
      </c>
      <c r="T153" s="220">
        <v>50.13</v>
      </c>
      <c r="U153" s="220">
        <v>29.69</v>
      </c>
      <c r="V153" s="229">
        <v>48.44</v>
      </c>
      <c r="W153" s="220">
        <v>36</v>
      </c>
      <c r="X153" s="220">
        <v>32.799999999999997</v>
      </c>
      <c r="Y153" s="220">
        <v>41.64</v>
      </c>
      <c r="Z153" s="224">
        <v>49.77</v>
      </c>
      <c r="AA153" s="220">
        <v>20.58</v>
      </c>
      <c r="AB153" s="220">
        <v>12.8</v>
      </c>
      <c r="AC153" s="220">
        <v>14.92</v>
      </c>
      <c r="AD153" s="220">
        <v>14.09</v>
      </c>
      <c r="AE153" s="220">
        <v>12.8</v>
      </c>
      <c r="AF153" s="229">
        <v>31</v>
      </c>
      <c r="AG153" s="220">
        <v>28</v>
      </c>
      <c r="AH153" s="220">
        <v>26</v>
      </c>
      <c r="AI153" s="220">
        <v>25.23</v>
      </c>
      <c r="AJ153" s="224">
        <v>26</v>
      </c>
      <c r="AK153" s="220">
        <v>1573.55</v>
      </c>
      <c r="AL153" s="220">
        <v>917.6</v>
      </c>
      <c r="AM153" s="220">
        <v>989.6</v>
      </c>
      <c r="AN153" s="220">
        <v>1233.19</v>
      </c>
      <c r="AO153" s="220">
        <v>972</v>
      </c>
      <c r="AP153" s="362" t="s">
        <v>386</v>
      </c>
      <c r="AQ153" s="363" t="s">
        <v>386</v>
      </c>
      <c r="AR153" s="363" t="s">
        <v>386</v>
      </c>
      <c r="AS153" s="363" t="s">
        <v>386</v>
      </c>
      <c r="AT153" s="364" t="s">
        <v>386</v>
      </c>
      <c r="AU153" s="220">
        <v>2841.63</v>
      </c>
      <c r="AV153" s="220">
        <v>1309.5999999999999</v>
      </c>
      <c r="AW153" s="220">
        <v>1668.61</v>
      </c>
      <c r="AX153" s="220">
        <v>1830.98</v>
      </c>
      <c r="AY153" s="220">
        <v>1443.39</v>
      </c>
      <c r="AZ153" s="229">
        <v>1625.9</v>
      </c>
      <c r="BA153" s="220">
        <v>959.2</v>
      </c>
      <c r="BB153" s="220">
        <v>968</v>
      </c>
      <c r="BC153" s="220">
        <v>1176.69</v>
      </c>
      <c r="BD153" s="224">
        <v>970.4</v>
      </c>
      <c r="BE153" s="220">
        <v>852.3</v>
      </c>
      <c r="BF153" s="220">
        <v>528.47</v>
      </c>
      <c r="BG153" s="220">
        <v>1028.47</v>
      </c>
      <c r="BH153" s="220">
        <v>1076.96</v>
      </c>
      <c r="BI153" s="220">
        <v>965.38</v>
      </c>
      <c r="BJ153" s="229">
        <v>686.83</v>
      </c>
      <c r="BK153" s="220">
        <v>433.6</v>
      </c>
      <c r="BL153" s="220">
        <v>522.4</v>
      </c>
      <c r="BM153" s="220">
        <v>527.20000000000005</v>
      </c>
      <c r="BN153" s="224">
        <v>518.4</v>
      </c>
      <c r="BO153" s="220" t="s">
        <v>386</v>
      </c>
      <c r="BP153" s="220" t="s">
        <v>386</v>
      </c>
      <c r="BQ153" s="220" t="s">
        <v>386</v>
      </c>
      <c r="BR153" s="220" t="s">
        <v>386</v>
      </c>
      <c r="BS153" s="224" t="s">
        <v>386</v>
      </c>
      <c r="BT153" s="220" t="s">
        <v>386</v>
      </c>
      <c r="BU153" s="220" t="s">
        <v>386</v>
      </c>
      <c r="BV153" s="220" t="s">
        <v>386</v>
      </c>
      <c r="BW153" s="220" t="s">
        <v>386</v>
      </c>
      <c r="BX153" s="224" t="s">
        <v>386</v>
      </c>
      <c r="BY153" s="220">
        <v>1585.5</v>
      </c>
      <c r="BZ153" s="220">
        <v>1094.4000000000001</v>
      </c>
      <c r="CA153" s="220">
        <v>1240</v>
      </c>
      <c r="CB153" s="220">
        <v>1760.56</v>
      </c>
      <c r="CC153" s="220">
        <v>1240</v>
      </c>
      <c r="CD153" s="362">
        <v>1814.82</v>
      </c>
      <c r="CE153" s="363">
        <v>1226.4000000000001</v>
      </c>
      <c r="CF153" s="363">
        <v>1191.2</v>
      </c>
      <c r="CG153" s="363">
        <v>1543.23</v>
      </c>
      <c r="CH153" s="364">
        <v>1177.5999999999999</v>
      </c>
    </row>
    <row r="154" spans="1:86" x14ac:dyDescent="0.25">
      <c r="A154" s="223" t="s">
        <v>263</v>
      </c>
      <c r="B154" s="229">
        <v>40.14</v>
      </c>
      <c r="C154" s="220">
        <v>26.5</v>
      </c>
      <c r="D154" s="220">
        <v>35.64</v>
      </c>
      <c r="E154" s="220">
        <v>37.479999999999997</v>
      </c>
      <c r="F154" s="224">
        <v>28.599999999999998</v>
      </c>
      <c r="G154" s="363">
        <v>33.090000000000003</v>
      </c>
      <c r="H154" s="363">
        <v>58.05</v>
      </c>
      <c r="I154" s="363">
        <v>52.45</v>
      </c>
      <c r="J154" s="363">
        <v>54.48</v>
      </c>
      <c r="K154" s="363">
        <v>21.6</v>
      </c>
      <c r="L154" s="229" t="s">
        <v>386</v>
      </c>
      <c r="M154" s="220" t="s">
        <v>386</v>
      </c>
      <c r="N154" s="220" t="s">
        <v>386</v>
      </c>
      <c r="O154" s="220" t="s">
        <v>386</v>
      </c>
      <c r="P154" s="224" t="s">
        <v>386</v>
      </c>
      <c r="Q154" s="220">
        <v>61.92</v>
      </c>
      <c r="R154" s="220">
        <v>26.95</v>
      </c>
      <c r="S154" s="220">
        <v>37.9</v>
      </c>
      <c r="T154" s="220">
        <v>54.17</v>
      </c>
      <c r="U154" s="220">
        <v>42.24</v>
      </c>
      <c r="V154" s="229">
        <v>32.67</v>
      </c>
      <c r="W154" s="220">
        <v>28.8</v>
      </c>
      <c r="X154" s="220">
        <v>30.4</v>
      </c>
      <c r="Y154" s="220">
        <v>27.2</v>
      </c>
      <c r="Z154" s="224">
        <v>49.77</v>
      </c>
      <c r="AA154" s="363">
        <v>15.55</v>
      </c>
      <c r="AB154" s="363">
        <v>12.8</v>
      </c>
      <c r="AC154" s="363">
        <v>12.8</v>
      </c>
      <c r="AD154" s="363">
        <v>12.8</v>
      </c>
      <c r="AE154" s="363">
        <v>12.8</v>
      </c>
      <c r="AF154" s="362">
        <v>31</v>
      </c>
      <c r="AG154" s="363">
        <v>28</v>
      </c>
      <c r="AH154" s="363">
        <v>26</v>
      </c>
      <c r="AI154" s="363">
        <v>22.4</v>
      </c>
      <c r="AJ154" s="364">
        <v>28</v>
      </c>
      <c r="AK154" s="220">
        <v>1746.73</v>
      </c>
      <c r="AL154" s="220">
        <v>837.6</v>
      </c>
      <c r="AM154" s="220">
        <v>1077.8900000000001</v>
      </c>
      <c r="AN154" s="220">
        <v>1498.06</v>
      </c>
      <c r="AO154" s="220">
        <v>965.51</v>
      </c>
      <c r="AP154" s="362">
        <v>1407.73</v>
      </c>
      <c r="AQ154" s="363">
        <v>965.57</v>
      </c>
      <c r="AR154" s="363">
        <v>1721.78</v>
      </c>
      <c r="AS154" s="363">
        <v>1721.78</v>
      </c>
      <c r="AT154" s="364">
        <v>1675.37</v>
      </c>
      <c r="AU154" s="220">
        <v>1829.91</v>
      </c>
      <c r="AV154" s="220">
        <v>1384</v>
      </c>
      <c r="AW154" s="220">
        <v>2176.1999999999998</v>
      </c>
      <c r="AX154" s="220">
        <v>2579.2600000000002</v>
      </c>
      <c r="AY154" s="220">
        <v>2040.46</v>
      </c>
      <c r="AZ154" s="229">
        <v>2213.27</v>
      </c>
      <c r="BA154" s="220">
        <v>1125.5999999999999</v>
      </c>
      <c r="BB154" s="220">
        <v>1429.39</v>
      </c>
      <c r="BC154" s="220">
        <v>1455.69</v>
      </c>
      <c r="BD154" s="224">
        <v>1418.7</v>
      </c>
      <c r="BE154" s="220">
        <v>813.87</v>
      </c>
      <c r="BF154" s="220">
        <v>889.85</v>
      </c>
      <c r="BG154" s="220">
        <v>1023.53</v>
      </c>
      <c r="BH154" s="220">
        <v>1031</v>
      </c>
      <c r="BI154" s="220">
        <v>965.38</v>
      </c>
      <c r="BJ154" s="229">
        <v>686.83</v>
      </c>
      <c r="BK154" s="220">
        <v>559.20000000000005</v>
      </c>
      <c r="BL154" s="220">
        <v>559.20000000000005</v>
      </c>
      <c r="BM154" s="220">
        <v>559.20000000000005</v>
      </c>
      <c r="BN154" s="224">
        <v>559.20000000000005</v>
      </c>
      <c r="BO154" s="220" t="s">
        <v>386</v>
      </c>
      <c r="BP154" s="220" t="s">
        <v>386</v>
      </c>
      <c r="BQ154" s="220" t="s">
        <v>386</v>
      </c>
      <c r="BR154" s="220" t="s">
        <v>386</v>
      </c>
      <c r="BS154" s="224" t="s">
        <v>386</v>
      </c>
      <c r="BT154" s="363" t="s">
        <v>386</v>
      </c>
      <c r="BU154" s="363" t="s">
        <v>386</v>
      </c>
      <c r="BV154" s="363" t="s">
        <v>386</v>
      </c>
      <c r="BW154" s="363" t="s">
        <v>386</v>
      </c>
      <c r="BX154" s="364" t="s">
        <v>386</v>
      </c>
      <c r="BY154" s="363">
        <v>1683.37</v>
      </c>
      <c r="BZ154" s="363">
        <v>1162.4000000000001</v>
      </c>
      <c r="CA154" s="363">
        <v>1993.32</v>
      </c>
      <c r="CB154" s="363">
        <v>1402.35</v>
      </c>
      <c r="CC154" s="363">
        <v>1496.36</v>
      </c>
      <c r="CD154" s="362">
        <v>1814.82</v>
      </c>
      <c r="CE154" s="363">
        <v>1314.4</v>
      </c>
      <c r="CF154" s="363">
        <v>1075.2</v>
      </c>
      <c r="CG154" s="363">
        <v>1283.96</v>
      </c>
      <c r="CH154" s="364">
        <v>1549.15</v>
      </c>
    </row>
    <row r="155" spans="1:86" x14ac:dyDescent="0.25">
      <c r="A155" s="223" t="s">
        <v>264</v>
      </c>
      <c r="B155" s="229">
        <v>25.790000000000003</v>
      </c>
      <c r="C155" s="220">
        <v>20.5</v>
      </c>
      <c r="D155" s="220">
        <v>28.57</v>
      </c>
      <c r="E155" s="220">
        <v>33.089999999999996</v>
      </c>
      <c r="F155" s="224">
        <v>32.160000000000004</v>
      </c>
      <c r="G155" s="363">
        <v>22.8</v>
      </c>
      <c r="H155" s="363">
        <v>33.659999999999997</v>
      </c>
      <c r="I155" s="363">
        <v>27.2</v>
      </c>
      <c r="J155" s="363">
        <v>34</v>
      </c>
      <c r="K155" s="363">
        <v>27.2</v>
      </c>
      <c r="L155" s="229">
        <v>99.44</v>
      </c>
      <c r="M155" s="220">
        <v>70.400000000000006</v>
      </c>
      <c r="N155" s="220">
        <v>153.35</v>
      </c>
      <c r="O155" s="220">
        <v>145.83000000000001</v>
      </c>
      <c r="P155" s="224">
        <v>92.85</v>
      </c>
      <c r="Q155" s="220">
        <v>26.15</v>
      </c>
      <c r="R155" s="220">
        <v>19.450000000000003</v>
      </c>
      <c r="S155" s="220">
        <v>35.479999999999997</v>
      </c>
      <c r="T155" s="220">
        <v>45.57</v>
      </c>
      <c r="U155" s="220">
        <v>37.090000000000003</v>
      </c>
      <c r="V155" s="229">
        <v>55.77</v>
      </c>
      <c r="W155" s="220">
        <v>24.8</v>
      </c>
      <c r="X155" s="220">
        <v>26.66</v>
      </c>
      <c r="Y155" s="220">
        <v>63</v>
      </c>
      <c r="Z155" s="224">
        <v>43.79</v>
      </c>
      <c r="AA155" s="363">
        <v>13.1</v>
      </c>
      <c r="AB155" s="363">
        <v>9.6</v>
      </c>
      <c r="AC155" s="363">
        <v>17.989999999999998</v>
      </c>
      <c r="AD155" s="363">
        <v>9.6</v>
      </c>
      <c r="AE155" s="363">
        <v>19.16</v>
      </c>
      <c r="AF155" s="362" t="s">
        <v>386</v>
      </c>
      <c r="AG155" s="363" t="s">
        <v>386</v>
      </c>
      <c r="AH155" s="363" t="s">
        <v>386</v>
      </c>
      <c r="AI155" s="363" t="s">
        <v>386</v>
      </c>
      <c r="AJ155" s="364" t="s">
        <v>386</v>
      </c>
      <c r="AK155" s="220">
        <v>1603.73</v>
      </c>
      <c r="AL155" s="220">
        <v>927.2</v>
      </c>
      <c r="AM155" s="220">
        <v>1077.8900000000001</v>
      </c>
      <c r="AN155" s="220">
        <v>1072.0999999999999</v>
      </c>
      <c r="AO155" s="220">
        <v>1190.26</v>
      </c>
      <c r="AP155" s="229">
        <v>1517.02</v>
      </c>
      <c r="AQ155" s="220">
        <v>1089.5999999999999</v>
      </c>
      <c r="AR155" s="220">
        <v>1670.34</v>
      </c>
      <c r="AS155" s="220">
        <v>1670.34</v>
      </c>
      <c r="AT155" s="224">
        <v>1432.35</v>
      </c>
      <c r="AU155" s="220">
        <v>1080.79</v>
      </c>
      <c r="AV155" s="220">
        <v>804.8</v>
      </c>
      <c r="AW155" s="220">
        <v>1159.27</v>
      </c>
      <c r="AX155" s="220">
        <v>1399.22</v>
      </c>
      <c r="AY155" s="220">
        <v>1441.55</v>
      </c>
      <c r="AZ155" s="229">
        <v>1547.31</v>
      </c>
      <c r="BA155" s="220">
        <v>675.2</v>
      </c>
      <c r="BB155" s="220">
        <v>950.98</v>
      </c>
      <c r="BC155" s="220">
        <v>1382.05</v>
      </c>
      <c r="BD155" s="224">
        <v>1112.6500000000001</v>
      </c>
      <c r="BE155" s="220">
        <v>717.48</v>
      </c>
      <c r="BF155" s="220">
        <v>544.79999999999995</v>
      </c>
      <c r="BG155" s="220">
        <v>652.5</v>
      </c>
      <c r="BH155" s="220">
        <v>842.67</v>
      </c>
      <c r="BI155" s="220">
        <v>992.95</v>
      </c>
      <c r="BJ155" s="229" t="s">
        <v>386</v>
      </c>
      <c r="BK155" s="220" t="s">
        <v>386</v>
      </c>
      <c r="BL155" s="220" t="s">
        <v>386</v>
      </c>
      <c r="BM155" s="220" t="s">
        <v>386</v>
      </c>
      <c r="BN155" s="224" t="s">
        <v>386</v>
      </c>
      <c r="BO155" s="220" t="s">
        <v>386</v>
      </c>
      <c r="BP155" s="220" t="s">
        <v>386</v>
      </c>
      <c r="BQ155" s="220" t="s">
        <v>386</v>
      </c>
      <c r="BR155" s="220" t="s">
        <v>386</v>
      </c>
      <c r="BS155" s="224" t="s">
        <v>386</v>
      </c>
      <c r="BT155" s="363" t="s">
        <v>386</v>
      </c>
      <c r="BU155" s="363" t="s">
        <v>386</v>
      </c>
      <c r="BV155" s="363" t="s">
        <v>386</v>
      </c>
      <c r="BW155" s="363" t="s">
        <v>386</v>
      </c>
      <c r="BX155" s="364" t="s">
        <v>386</v>
      </c>
      <c r="BY155" s="363">
        <v>1666.14</v>
      </c>
      <c r="BZ155" s="363">
        <v>665.63</v>
      </c>
      <c r="CA155" s="363">
        <v>822.47</v>
      </c>
      <c r="CB155" s="363">
        <v>1745.62</v>
      </c>
      <c r="CC155" s="363">
        <v>957.18</v>
      </c>
      <c r="CD155" s="362">
        <v>1244.02</v>
      </c>
      <c r="CE155" s="363">
        <v>708</v>
      </c>
      <c r="CF155" s="363">
        <v>782.69</v>
      </c>
      <c r="CG155" s="363">
        <v>1140.67</v>
      </c>
      <c r="CH155" s="364">
        <v>1063.18</v>
      </c>
    </row>
    <row r="156" spans="1:86" x14ac:dyDescent="0.25">
      <c r="A156" s="223" t="s">
        <v>265</v>
      </c>
      <c r="B156" s="229">
        <v>36.799999999999997</v>
      </c>
      <c r="C156" s="220">
        <v>31.299999999999997</v>
      </c>
      <c r="D156" s="220">
        <v>30.32</v>
      </c>
      <c r="E156" s="220">
        <v>41.86</v>
      </c>
      <c r="F156" s="224">
        <v>53.83</v>
      </c>
      <c r="G156" s="363">
        <v>33.090000000000003</v>
      </c>
      <c r="H156" s="363">
        <v>33.659999999999997</v>
      </c>
      <c r="I156" s="363">
        <v>38.53</v>
      </c>
      <c r="J156" s="363">
        <v>34</v>
      </c>
      <c r="K156" s="363">
        <v>28.23</v>
      </c>
      <c r="L156" s="362">
        <v>164.04</v>
      </c>
      <c r="M156" s="363">
        <v>175.52</v>
      </c>
      <c r="N156" s="363">
        <v>169.29</v>
      </c>
      <c r="O156" s="363">
        <v>188.78</v>
      </c>
      <c r="P156" s="364">
        <v>162.86000000000001</v>
      </c>
      <c r="Q156" s="220">
        <v>55.08</v>
      </c>
      <c r="R156" s="220">
        <v>31</v>
      </c>
      <c r="S156" s="220">
        <v>30.560000000000002</v>
      </c>
      <c r="T156" s="220">
        <v>54.660000000000004</v>
      </c>
      <c r="U156" s="220">
        <v>46.57</v>
      </c>
      <c r="V156" s="229">
        <v>61.94</v>
      </c>
      <c r="W156" s="220">
        <v>42.4</v>
      </c>
      <c r="X156" s="220">
        <v>43.2</v>
      </c>
      <c r="Y156" s="220">
        <v>63</v>
      </c>
      <c r="Z156" s="224">
        <v>43.2</v>
      </c>
      <c r="AA156" s="363" t="s">
        <v>386</v>
      </c>
      <c r="AB156" s="363" t="s">
        <v>386</v>
      </c>
      <c r="AC156" s="363" t="s">
        <v>386</v>
      </c>
      <c r="AD156" s="363" t="s">
        <v>386</v>
      </c>
      <c r="AE156" s="363" t="s">
        <v>386</v>
      </c>
      <c r="AF156" s="374" t="s">
        <v>386</v>
      </c>
      <c r="AG156" s="375" t="s">
        <v>386</v>
      </c>
      <c r="AH156" s="375" t="s">
        <v>386</v>
      </c>
      <c r="AI156" s="375" t="s">
        <v>386</v>
      </c>
      <c r="AJ156" s="376" t="s">
        <v>386</v>
      </c>
      <c r="AK156" s="220">
        <v>1684.35</v>
      </c>
      <c r="AL156" s="220">
        <v>644.49</v>
      </c>
      <c r="AM156" s="220">
        <v>914.01</v>
      </c>
      <c r="AN156" s="220">
        <v>683.13</v>
      </c>
      <c r="AO156" s="220">
        <v>613.69000000000005</v>
      </c>
      <c r="AP156" s="229">
        <v>1407.73</v>
      </c>
      <c r="AQ156" s="220">
        <v>984.8</v>
      </c>
      <c r="AR156" s="220">
        <v>1721.78</v>
      </c>
      <c r="AS156" s="220">
        <v>1721.78</v>
      </c>
      <c r="AT156" s="224">
        <v>1432.35</v>
      </c>
      <c r="AU156" s="220">
        <v>1725.47</v>
      </c>
      <c r="AV156" s="220">
        <v>802.4</v>
      </c>
      <c r="AW156" s="220">
        <v>1474.66</v>
      </c>
      <c r="AX156" s="220">
        <v>2000.38</v>
      </c>
      <c r="AY156" s="220">
        <v>1835.13</v>
      </c>
      <c r="AZ156" s="229">
        <v>1277.82</v>
      </c>
      <c r="BA156" s="220">
        <v>721.6</v>
      </c>
      <c r="BB156" s="220">
        <v>976.74</v>
      </c>
      <c r="BC156" s="220">
        <v>810.76</v>
      </c>
      <c r="BD156" s="224">
        <v>766.82</v>
      </c>
      <c r="BE156" s="220">
        <v>871.5</v>
      </c>
      <c r="BF156" s="220">
        <v>616</v>
      </c>
      <c r="BG156" s="220">
        <v>652.5</v>
      </c>
      <c r="BH156" s="220">
        <v>920.91</v>
      </c>
      <c r="BI156" s="220">
        <v>801.17</v>
      </c>
      <c r="BJ156" s="229">
        <v>755.15</v>
      </c>
      <c r="BK156" s="220">
        <v>444</v>
      </c>
      <c r="BL156" s="220">
        <v>444</v>
      </c>
      <c r="BM156" s="220">
        <v>510.08</v>
      </c>
      <c r="BN156" s="224">
        <v>455.95</v>
      </c>
      <c r="BO156" s="220" t="s">
        <v>386</v>
      </c>
      <c r="BP156" s="220" t="s">
        <v>386</v>
      </c>
      <c r="BQ156" s="220" t="s">
        <v>386</v>
      </c>
      <c r="BR156" s="220" t="s">
        <v>386</v>
      </c>
      <c r="BS156" s="224" t="s">
        <v>386</v>
      </c>
      <c r="BT156" s="220" t="s">
        <v>386</v>
      </c>
      <c r="BU156" s="220" t="s">
        <v>386</v>
      </c>
      <c r="BV156" s="220" t="s">
        <v>386</v>
      </c>
      <c r="BW156" s="220" t="s">
        <v>386</v>
      </c>
      <c r="BX156" s="224" t="s">
        <v>386</v>
      </c>
      <c r="BY156" s="220">
        <v>1645.23</v>
      </c>
      <c r="BZ156" s="220">
        <v>739.2</v>
      </c>
      <c r="CA156" s="220">
        <v>1113.3800000000001</v>
      </c>
      <c r="CB156" s="220">
        <v>1513.81</v>
      </c>
      <c r="CC156" s="220">
        <v>938.05</v>
      </c>
      <c r="CD156" s="362" t="s">
        <v>386</v>
      </c>
      <c r="CE156" s="363" t="s">
        <v>386</v>
      </c>
      <c r="CF156" s="363" t="s">
        <v>386</v>
      </c>
      <c r="CG156" s="363" t="s">
        <v>386</v>
      </c>
      <c r="CH156" s="364" t="s">
        <v>386</v>
      </c>
    </row>
    <row r="157" spans="1:86" x14ac:dyDescent="0.25">
      <c r="A157" s="223" t="s">
        <v>266</v>
      </c>
      <c r="B157" s="229">
        <v>86.19</v>
      </c>
      <c r="C157" s="220">
        <v>59.14</v>
      </c>
      <c r="D157" s="220">
        <v>80.72</v>
      </c>
      <c r="E157" s="220">
        <v>68.56</v>
      </c>
      <c r="F157" s="224">
        <v>88.17</v>
      </c>
      <c r="G157" s="363" t="s">
        <v>386</v>
      </c>
      <c r="H157" s="363" t="s">
        <v>386</v>
      </c>
      <c r="I157" s="363" t="s">
        <v>386</v>
      </c>
      <c r="J157" s="363" t="s">
        <v>386</v>
      </c>
      <c r="K157" s="363" t="s">
        <v>386</v>
      </c>
      <c r="L157" s="362" t="s">
        <v>386</v>
      </c>
      <c r="M157" s="363" t="s">
        <v>386</v>
      </c>
      <c r="N157" s="363" t="s">
        <v>386</v>
      </c>
      <c r="O157" s="363" t="s">
        <v>386</v>
      </c>
      <c r="P157" s="364" t="s">
        <v>386</v>
      </c>
      <c r="Q157" s="220">
        <v>72.63000000000001</v>
      </c>
      <c r="R157" s="220">
        <v>63.49</v>
      </c>
      <c r="S157" s="220">
        <v>68.680000000000007</v>
      </c>
      <c r="T157" s="220">
        <v>57.64</v>
      </c>
      <c r="U157" s="220">
        <v>62.160000000000004</v>
      </c>
      <c r="V157" s="229">
        <v>48</v>
      </c>
      <c r="W157" s="220">
        <v>48</v>
      </c>
      <c r="X157" s="220">
        <v>85</v>
      </c>
      <c r="Y157" s="220">
        <v>71.56</v>
      </c>
      <c r="Z157" s="224">
        <v>48</v>
      </c>
      <c r="AA157" s="363" t="s">
        <v>386</v>
      </c>
      <c r="AB157" s="363" t="s">
        <v>386</v>
      </c>
      <c r="AC157" s="363" t="s">
        <v>386</v>
      </c>
      <c r="AD157" s="363" t="s">
        <v>386</v>
      </c>
      <c r="AE157" s="363" t="s">
        <v>386</v>
      </c>
      <c r="AF157" s="374" t="s">
        <v>386</v>
      </c>
      <c r="AG157" s="375" t="s">
        <v>386</v>
      </c>
      <c r="AH157" s="375" t="s">
        <v>386</v>
      </c>
      <c r="AI157" s="375" t="s">
        <v>386</v>
      </c>
      <c r="AJ157" s="376" t="s">
        <v>386</v>
      </c>
      <c r="AK157" s="220">
        <v>1559.21</v>
      </c>
      <c r="AL157" s="220">
        <v>670.4</v>
      </c>
      <c r="AM157" s="220">
        <v>670.4</v>
      </c>
      <c r="AN157" s="220">
        <v>670.4</v>
      </c>
      <c r="AO157" s="220">
        <v>798.81</v>
      </c>
      <c r="AP157" s="362" t="s">
        <v>386</v>
      </c>
      <c r="AQ157" s="363" t="s">
        <v>386</v>
      </c>
      <c r="AR157" s="363" t="s">
        <v>386</v>
      </c>
      <c r="AS157" s="363" t="s">
        <v>386</v>
      </c>
      <c r="AT157" s="364" t="s">
        <v>386</v>
      </c>
      <c r="AU157" s="220">
        <v>2330</v>
      </c>
      <c r="AV157" s="220">
        <v>1694.4</v>
      </c>
      <c r="AW157" s="220">
        <v>1711.2</v>
      </c>
      <c r="AX157" s="220">
        <v>1983.73</v>
      </c>
      <c r="AY157" s="220">
        <v>1752</v>
      </c>
      <c r="AZ157" s="229">
        <v>1473.34</v>
      </c>
      <c r="BA157" s="220">
        <v>1372.8</v>
      </c>
      <c r="BB157" s="220">
        <v>1186.4000000000001</v>
      </c>
      <c r="BC157" s="220">
        <v>1186.4000000000001</v>
      </c>
      <c r="BD157" s="224">
        <v>1186.4000000000001</v>
      </c>
      <c r="BE157" s="363" t="s">
        <v>386</v>
      </c>
      <c r="BF157" s="363" t="s">
        <v>386</v>
      </c>
      <c r="BG157" s="363" t="s">
        <v>386</v>
      </c>
      <c r="BH157" s="363" t="s">
        <v>386</v>
      </c>
      <c r="BI157" s="363" t="s">
        <v>386</v>
      </c>
      <c r="BJ157" s="229" t="s">
        <v>386</v>
      </c>
      <c r="BK157" s="220" t="s">
        <v>386</v>
      </c>
      <c r="BL157" s="220" t="s">
        <v>386</v>
      </c>
      <c r="BM157" s="220" t="s">
        <v>386</v>
      </c>
      <c r="BN157" s="224" t="s">
        <v>386</v>
      </c>
      <c r="BO157" s="220" t="s">
        <v>386</v>
      </c>
      <c r="BP157" s="220" t="s">
        <v>386</v>
      </c>
      <c r="BQ157" s="220" t="s">
        <v>386</v>
      </c>
      <c r="BR157" s="220" t="s">
        <v>386</v>
      </c>
      <c r="BS157" s="224" t="s">
        <v>386</v>
      </c>
      <c r="BT157" s="363" t="s">
        <v>386</v>
      </c>
      <c r="BU157" s="363" t="s">
        <v>386</v>
      </c>
      <c r="BV157" s="363" t="s">
        <v>386</v>
      </c>
      <c r="BW157" s="363" t="s">
        <v>386</v>
      </c>
      <c r="BX157" s="364" t="s">
        <v>386</v>
      </c>
      <c r="BY157" s="363" t="s">
        <v>386</v>
      </c>
      <c r="BZ157" s="363" t="s">
        <v>386</v>
      </c>
      <c r="CA157" s="363" t="s">
        <v>386</v>
      </c>
      <c r="CB157" s="363" t="s">
        <v>386</v>
      </c>
      <c r="CC157" s="363" t="s">
        <v>386</v>
      </c>
      <c r="CD157" s="362" t="s">
        <v>386</v>
      </c>
      <c r="CE157" s="363" t="s">
        <v>386</v>
      </c>
      <c r="CF157" s="363" t="s">
        <v>386</v>
      </c>
      <c r="CG157" s="363" t="s">
        <v>386</v>
      </c>
      <c r="CH157" s="364" t="s">
        <v>386</v>
      </c>
    </row>
    <row r="158" spans="1:86" x14ac:dyDescent="0.25">
      <c r="A158" s="223" t="s">
        <v>267</v>
      </c>
      <c r="B158" s="229">
        <v>52.180000000000007</v>
      </c>
      <c r="C158" s="220">
        <v>41</v>
      </c>
      <c r="D158" s="220">
        <v>39.04</v>
      </c>
      <c r="E158" s="220">
        <v>71.819999999999993</v>
      </c>
      <c r="F158" s="224">
        <v>65.209999999999994</v>
      </c>
      <c r="G158" s="363" t="s">
        <v>386</v>
      </c>
      <c r="H158" s="363" t="s">
        <v>386</v>
      </c>
      <c r="I158" s="363" t="s">
        <v>386</v>
      </c>
      <c r="J158" s="363" t="s">
        <v>386</v>
      </c>
      <c r="K158" s="363" t="s">
        <v>386</v>
      </c>
      <c r="L158" s="229">
        <v>164.04</v>
      </c>
      <c r="M158" s="220">
        <v>162.51</v>
      </c>
      <c r="N158" s="220">
        <v>169.78</v>
      </c>
      <c r="O158" s="220">
        <v>188.78</v>
      </c>
      <c r="P158" s="224">
        <v>162.86000000000001</v>
      </c>
      <c r="Q158" s="220">
        <v>73.58</v>
      </c>
      <c r="R158" s="220">
        <v>46.1</v>
      </c>
      <c r="S158" s="220">
        <v>55.02</v>
      </c>
      <c r="T158" s="220">
        <v>79.27</v>
      </c>
      <c r="U158" s="220">
        <v>71.239999999999995</v>
      </c>
      <c r="V158" s="229">
        <v>56.5</v>
      </c>
      <c r="W158" s="220">
        <v>29.45</v>
      </c>
      <c r="X158" s="220">
        <v>26.66</v>
      </c>
      <c r="Y158" s="220">
        <v>63</v>
      </c>
      <c r="Z158" s="224">
        <v>34.340000000000003</v>
      </c>
      <c r="AA158" s="363" t="s">
        <v>386</v>
      </c>
      <c r="AB158" s="363" t="s">
        <v>386</v>
      </c>
      <c r="AC158" s="363" t="s">
        <v>386</v>
      </c>
      <c r="AD158" s="363" t="s">
        <v>386</v>
      </c>
      <c r="AE158" s="363" t="s">
        <v>386</v>
      </c>
      <c r="AF158" s="374" t="s">
        <v>386</v>
      </c>
      <c r="AG158" s="375" t="s">
        <v>386</v>
      </c>
      <c r="AH158" s="375" t="s">
        <v>386</v>
      </c>
      <c r="AI158" s="375" t="s">
        <v>386</v>
      </c>
      <c r="AJ158" s="376" t="s">
        <v>386</v>
      </c>
      <c r="AK158" s="363">
        <v>1560.67</v>
      </c>
      <c r="AL158" s="363">
        <v>946</v>
      </c>
      <c r="AM158" s="363">
        <v>946</v>
      </c>
      <c r="AN158" s="363">
        <v>1072.0999999999999</v>
      </c>
      <c r="AO158" s="363">
        <v>946</v>
      </c>
      <c r="AP158" s="362" t="s">
        <v>386</v>
      </c>
      <c r="AQ158" s="363" t="s">
        <v>386</v>
      </c>
      <c r="AR158" s="363" t="s">
        <v>386</v>
      </c>
      <c r="AS158" s="363" t="s">
        <v>386</v>
      </c>
      <c r="AT158" s="364" t="s">
        <v>386</v>
      </c>
      <c r="AU158" s="220">
        <v>2469.77</v>
      </c>
      <c r="AV158" s="220">
        <v>1451.2</v>
      </c>
      <c r="AW158" s="220">
        <v>2251.6</v>
      </c>
      <c r="AX158" s="220">
        <v>2613.02</v>
      </c>
      <c r="AY158" s="220">
        <v>2268.39</v>
      </c>
      <c r="AZ158" s="229" t="s">
        <v>386</v>
      </c>
      <c r="BA158" s="220" t="s">
        <v>386</v>
      </c>
      <c r="BB158" s="220" t="s">
        <v>386</v>
      </c>
      <c r="BC158" s="220" t="s">
        <v>386</v>
      </c>
      <c r="BD158" s="224" t="s">
        <v>386</v>
      </c>
      <c r="BE158" s="363" t="s">
        <v>386</v>
      </c>
      <c r="BF158" s="363" t="s">
        <v>386</v>
      </c>
      <c r="BG158" s="363" t="s">
        <v>386</v>
      </c>
      <c r="BH158" s="363" t="s">
        <v>386</v>
      </c>
      <c r="BI158" s="363" t="s">
        <v>386</v>
      </c>
      <c r="BJ158" s="362" t="s">
        <v>386</v>
      </c>
      <c r="BK158" s="363" t="s">
        <v>386</v>
      </c>
      <c r="BL158" s="363" t="s">
        <v>386</v>
      </c>
      <c r="BM158" s="363" t="s">
        <v>386</v>
      </c>
      <c r="BN158" s="364" t="s">
        <v>386</v>
      </c>
      <c r="BO158" s="363" t="s">
        <v>386</v>
      </c>
      <c r="BP158" s="363" t="s">
        <v>386</v>
      </c>
      <c r="BQ158" s="363" t="s">
        <v>386</v>
      </c>
      <c r="BR158" s="363" t="s">
        <v>386</v>
      </c>
      <c r="BS158" s="364" t="s">
        <v>386</v>
      </c>
      <c r="BT158" s="363" t="s">
        <v>386</v>
      </c>
      <c r="BU158" s="363" t="s">
        <v>386</v>
      </c>
      <c r="BV158" s="363" t="s">
        <v>386</v>
      </c>
      <c r="BW158" s="363" t="s">
        <v>386</v>
      </c>
      <c r="BX158" s="364" t="s">
        <v>386</v>
      </c>
      <c r="BY158" s="363" t="s">
        <v>386</v>
      </c>
      <c r="BZ158" s="363" t="s">
        <v>386</v>
      </c>
      <c r="CA158" s="363" t="s">
        <v>386</v>
      </c>
      <c r="CB158" s="363" t="s">
        <v>386</v>
      </c>
      <c r="CC158" s="363" t="s">
        <v>386</v>
      </c>
      <c r="CD158" s="229">
        <v>1244.02</v>
      </c>
      <c r="CE158" s="220">
        <v>917.6</v>
      </c>
      <c r="CF158" s="220">
        <v>917.6</v>
      </c>
      <c r="CG158" s="220">
        <v>1140.67</v>
      </c>
      <c r="CH158" s="224">
        <v>1096</v>
      </c>
    </row>
    <row r="159" spans="1:86" x14ac:dyDescent="0.25">
      <c r="A159" s="223" t="s">
        <v>268</v>
      </c>
      <c r="B159" s="229">
        <v>27.73</v>
      </c>
      <c r="C159" s="220">
        <v>22.9</v>
      </c>
      <c r="D159" s="220">
        <v>22</v>
      </c>
      <c r="E159" s="220">
        <v>25.12</v>
      </c>
      <c r="F159" s="224">
        <v>38.340000000000003</v>
      </c>
      <c r="G159" s="363" t="s">
        <v>386</v>
      </c>
      <c r="H159" s="363" t="s">
        <v>386</v>
      </c>
      <c r="I159" s="363" t="s">
        <v>386</v>
      </c>
      <c r="J159" s="363" t="s">
        <v>386</v>
      </c>
      <c r="K159" s="363" t="s">
        <v>386</v>
      </c>
      <c r="L159" s="229">
        <v>100.18</v>
      </c>
      <c r="M159" s="220">
        <v>182.65</v>
      </c>
      <c r="N159" s="220">
        <v>148.97</v>
      </c>
      <c r="O159" s="220">
        <v>187.79</v>
      </c>
      <c r="P159" s="224">
        <v>170.38</v>
      </c>
      <c r="Q159" s="220">
        <v>53.4</v>
      </c>
      <c r="R159" s="220">
        <v>23.950000000000003</v>
      </c>
      <c r="S159" s="220">
        <v>27.48</v>
      </c>
      <c r="T159" s="220">
        <v>39.389999999999993</v>
      </c>
      <c r="U159" s="220">
        <v>36.53</v>
      </c>
      <c r="V159" s="229">
        <v>40.880000000000003</v>
      </c>
      <c r="W159" s="220">
        <v>28</v>
      </c>
      <c r="X159" s="220">
        <v>28</v>
      </c>
      <c r="Y159" s="220">
        <v>36.909999999999997</v>
      </c>
      <c r="Z159" s="224">
        <v>49.77</v>
      </c>
      <c r="AA159" s="363" t="s">
        <v>386</v>
      </c>
      <c r="AB159" s="363" t="s">
        <v>386</v>
      </c>
      <c r="AC159" s="363" t="s">
        <v>386</v>
      </c>
      <c r="AD159" s="363" t="s">
        <v>386</v>
      </c>
      <c r="AE159" s="363" t="s">
        <v>386</v>
      </c>
      <c r="AF159" s="374" t="s">
        <v>386</v>
      </c>
      <c r="AG159" s="375" t="s">
        <v>386</v>
      </c>
      <c r="AH159" s="375" t="s">
        <v>386</v>
      </c>
      <c r="AI159" s="375" t="s">
        <v>386</v>
      </c>
      <c r="AJ159" s="376" t="s">
        <v>386</v>
      </c>
      <c r="AK159" s="220" t="s">
        <v>386</v>
      </c>
      <c r="AL159" s="220" t="s">
        <v>386</v>
      </c>
      <c r="AM159" s="220" t="s">
        <v>386</v>
      </c>
      <c r="AN159" s="220" t="s">
        <v>386</v>
      </c>
      <c r="AO159" s="220" t="s">
        <v>386</v>
      </c>
      <c r="AP159" s="362" t="s">
        <v>386</v>
      </c>
      <c r="AQ159" s="363" t="s">
        <v>386</v>
      </c>
      <c r="AR159" s="363" t="s">
        <v>386</v>
      </c>
      <c r="AS159" s="363" t="s">
        <v>386</v>
      </c>
      <c r="AT159" s="364" t="s">
        <v>386</v>
      </c>
      <c r="AU159" s="220">
        <v>1432.25</v>
      </c>
      <c r="AV159" s="220">
        <v>1054.4000000000001</v>
      </c>
      <c r="AW159" s="220">
        <v>1098.4000000000001</v>
      </c>
      <c r="AX159" s="220">
        <v>1838.36</v>
      </c>
      <c r="AY159" s="220">
        <v>1098.4000000000001</v>
      </c>
      <c r="AZ159" s="229">
        <v>1490.72</v>
      </c>
      <c r="BA159" s="220">
        <v>685.6</v>
      </c>
      <c r="BB159" s="220">
        <v>705.6</v>
      </c>
      <c r="BC159" s="220">
        <v>1035</v>
      </c>
      <c r="BD159" s="224">
        <v>1053.27</v>
      </c>
      <c r="BE159" s="220" t="s">
        <v>386</v>
      </c>
      <c r="BF159" s="220" t="s">
        <v>386</v>
      </c>
      <c r="BG159" s="220" t="s">
        <v>386</v>
      </c>
      <c r="BH159" s="220" t="s">
        <v>386</v>
      </c>
      <c r="BI159" s="220" t="s">
        <v>386</v>
      </c>
      <c r="BJ159" s="229" t="s">
        <v>386</v>
      </c>
      <c r="BK159" s="220" t="s">
        <v>386</v>
      </c>
      <c r="BL159" s="220" t="s">
        <v>386</v>
      </c>
      <c r="BM159" s="220" t="s">
        <v>386</v>
      </c>
      <c r="BN159" s="224" t="s">
        <v>386</v>
      </c>
      <c r="BO159" s="220" t="s">
        <v>386</v>
      </c>
      <c r="BP159" s="220" t="s">
        <v>386</v>
      </c>
      <c r="BQ159" s="220" t="s">
        <v>386</v>
      </c>
      <c r="BR159" s="220" t="s">
        <v>386</v>
      </c>
      <c r="BS159" s="224" t="s">
        <v>386</v>
      </c>
      <c r="BT159" s="363" t="s">
        <v>386</v>
      </c>
      <c r="BU159" s="363" t="s">
        <v>386</v>
      </c>
      <c r="BV159" s="363" t="s">
        <v>386</v>
      </c>
      <c r="BW159" s="363" t="s">
        <v>386</v>
      </c>
      <c r="BX159" s="364" t="s">
        <v>386</v>
      </c>
      <c r="BY159" s="363" t="s">
        <v>386</v>
      </c>
      <c r="BZ159" s="363" t="s">
        <v>386</v>
      </c>
      <c r="CA159" s="363" t="s">
        <v>386</v>
      </c>
      <c r="CB159" s="363" t="s">
        <v>386</v>
      </c>
      <c r="CC159" s="363" t="s">
        <v>386</v>
      </c>
      <c r="CD159" s="362" t="s">
        <v>386</v>
      </c>
      <c r="CE159" s="363" t="s">
        <v>386</v>
      </c>
      <c r="CF159" s="363" t="s">
        <v>386</v>
      </c>
      <c r="CG159" s="363" t="s">
        <v>386</v>
      </c>
      <c r="CH159" s="364" t="s">
        <v>386</v>
      </c>
    </row>
    <row r="160" spans="1:86" x14ac:dyDescent="0.25">
      <c r="A160" s="223" t="s">
        <v>269</v>
      </c>
      <c r="B160" s="229">
        <v>38.120000000000005</v>
      </c>
      <c r="C160" s="220">
        <v>34.450000000000003</v>
      </c>
      <c r="D160" s="220">
        <v>35.08</v>
      </c>
      <c r="E160" s="220">
        <v>35.9</v>
      </c>
      <c r="F160" s="224">
        <v>31.54</v>
      </c>
      <c r="G160" s="363" t="s">
        <v>386</v>
      </c>
      <c r="H160" s="363" t="s">
        <v>386</v>
      </c>
      <c r="I160" s="363" t="s">
        <v>386</v>
      </c>
      <c r="J160" s="363" t="s">
        <v>386</v>
      </c>
      <c r="K160" s="363" t="s">
        <v>386</v>
      </c>
      <c r="L160" s="362" t="s">
        <v>386</v>
      </c>
      <c r="M160" s="363" t="s">
        <v>386</v>
      </c>
      <c r="N160" s="363" t="s">
        <v>386</v>
      </c>
      <c r="O160" s="363" t="s">
        <v>386</v>
      </c>
      <c r="P160" s="364" t="s">
        <v>386</v>
      </c>
      <c r="Q160" s="220">
        <v>55.08</v>
      </c>
      <c r="R160" s="220">
        <v>34.1</v>
      </c>
      <c r="S160" s="220">
        <v>37.769999999999996</v>
      </c>
      <c r="T160" s="220">
        <v>45.5</v>
      </c>
      <c r="U160" s="220">
        <v>43.11</v>
      </c>
      <c r="V160" s="229">
        <v>24.8</v>
      </c>
      <c r="W160" s="220">
        <v>33.6</v>
      </c>
      <c r="X160" s="220">
        <v>34.4</v>
      </c>
      <c r="Y160" s="220">
        <v>63</v>
      </c>
      <c r="Z160" s="224">
        <v>34.340000000000003</v>
      </c>
      <c r="AA160" s="363" t="s">
        <v>386</v>
      </c>
      <c r="AB160" s="363" t="s">
        <v>386</v>
      </c>
      <c r="AC160" s="363" t="s">
        <v>386</v>
      </c>
      <c r="AD160" s="363" t="s">
        <v>386</v>
      </c>
      <c r="AE160" s="363" t="s">
        <v>386</v>
      </c>
      <c r="AF160" s="374" t="s">
        <v>386</v>
      </c>
      <c r="AG160" s="375" t="s">
        <v>386</v>
      </c>
      <c r="AH160" s="375" t="s">
        <v>386</v>
      </c>
      <c r="AI160" s="375" t="s">
        <v>386</v>
      </c>
      <c r="AJ160" s="376" t="s">
        <v>386</v>
      </c>
      <c r="AK160" s="220">
        <v>1465.62</v>
      </c>
      <c r="AL160" s="220">
        <v>1464.6</v>
      </c>
      <c r="AM160" s="220">
        <v>1043.2</v>
      </c>
      <c r="AN160" s="220">
        <v>928</v>
      </c>
      <c r="AO160" s="220">
        <v>1404.05</v>
      </c>
      <c r="AP160" s="362" t="s">
        <v>386</v>
      </c>
      <c r="AQ160" s="363" t="s">
        <v>386</v>
      </c>
      <c r="AR160" s="363" t="s">
        <v>386</v>
      </c>
      <c r="AS160" s="363" t="s">
        <v>386</v>
      </c>
      <c r="AT160" s="364" t="s">
        <v>386</v>
      </c>
      <c r="AU160" s="220">
        <v>1939.13</v>
      </c>
      <c r="AV160" s="220">
        <v>1023.2</v>
      </c>
      <c r="AW160" s="220">
        <v>1321.47</v>
      </c>
      <c r="AX160" s="220">
        <v>1276.6400000000001</v>
      </c>
      <c r="AY160" s="220">
        <v>1043.2</v>
      </c>
      <c r="AZ160" s="229">
        <v>1333.11</v>
      </c>
      <c r="BA160" s="220">
        <v>882.4</v>
      </c>
      <c r="BB160" s="220">
        <v>929.6</v>
      </c>
      <c r="BC160" s="220">
        <v>872.8</v>
      </c>
      <c r="BD160" s="224">
        <v>869.6</v>
      </c>
      <c r="BE160" s="363" t="s">
        <v>386</v>
      </c>
      <c r="BF160" s="363" t="s">
        <v>386</v>
      </c>
      <c r="BG160" s="363" t="s">
        <v>386</v>
      </c>
      <c r="BH160" s="363" t="s">
        <v>386</v>
      </c>
      <c r="BI160" s="363" t="s">
        <v>386</v>
      </c>
      <c r="BJ160" s="229">
        <v>759.36</v>
      </c>
      <c r="BK160" s="220">
        <v>426.4</v>
      </c>
      <c r="BL160" s="220">
        <v>426.4</v>
      </c>
      <c r="BM160" s="220">
        <v>426.4</v>
      </c>
      <c r="BN160" s="224">
        <v>426.4</v>
      </c>
      <c r="BO160" s="220" t="s">
        <v>386</v>
      </c>
      <c r="BP160" s="220" t="s">
        <v>386</v>
      </c>
      <c r="BQ160" s="220" t="s">
        <v>386</v>
      </c>
      <c r="BR160" s="220" t="s">
        <v>386</v>
      </c>
      <c r="BS160" s="224" t="s">
        <v>386</v>
      </c>
      <c r="BT160" s="220" t="s">
        <v>386</v>
      </c>
      <c r="BU160" s="220" t="s">
        <v>386</v>
      </c>
      <c r="BV160" s="220" t="s">
        <v>386</v>
      </c>
      <c r="BW160" s="220" t="s">
        <v>386</v>
      </c>
      <c r="BX160" s="224" t="s">
        <v>386</v>
      </c>
      <c r="BY160" s="220">
        <v>1583.95</v>
      </c>
      <c r="BZ160" s="220">
        <v>847.2</v>
      </c>
      <c r="CA160" s="220">
        <v>1129.04</v>
      </c>
      <c r="CB160" s="220">
        <v>881</v>
      </c>
      <c r="CC160" s="220">
        <v>870.05</v>
      </c>
      <c r="CD160" s="229">
        <v>1198.27</v>
      </c>
      <c r="CE160" s="220">
        <v>945.6</v>
      </c>
      <c r="CF160" s="220">
        <v>824.8</v>
      </c>
      <c r="CG160" s="220">
        <v>824.8</v>
      </c>
      <c r="CH160" s="224">
        <v>1063.18</v>
      </c>
    </row>
    <row r="161" spans="1:86" x14ac:dyDescent="0.25">
      <c r="A161" s="223" t="s">
        <v>270</v>
      </c>
      <c r="B161" s="229">
        <v>51.93</v>
      </c>
      <c r="C161" s="220">
        <v>27.150000000000002</v>
      </c>
      <c r="D161" s="220">
        <v>30.959999999999997</v>
      </c>
      <c r="E161" s="220">
        <v>64.510000000000005</v>
      </c>
      <c r="F161" s="224">
        <v>42.629999999999995</v>
      </c>
      <c r="G161" s="363" t="s">
        <v>386</v>
      </c>
      <c r="H161" s="363" t="s">
        <v>386</v>
      </c>
      <c r="I161" s="363" t="s">
        <v>386</v>
      </c>
      <c r="J161" s="363" t="s">
        <v>386</v>
      </c>
      <c r="K161" s="363" t="s">
        <v>386</v>
      </c>
      <c r="L161" s="229">
        <v>198.3</v>
      </c>
      <c r="M161" s="220">
        <v>195.75</v>
      </c>
      <c r="N161" s="220">
        <v>199.72</v>
      </c>
      <c r="O161" s="220">
        <v>188.78</v>
      </c>
      <c r="P161" s="224">
        <v>187.19</v>
      </c>
      <c r="Q161" s="220">
        <v>53.21</v>
      </c>
      <c r="R161" s="220">
        <v>22.3</v>
      </c>
      <c r="S161" s="220">
        <v>28.09</v>
      </c>
      <c r="T161" s="220">
        <v>70.56</v>
      </c>
      <c r="U161" s="220">
        <v>47.09</v>
      </c>
      <c r="V161" s="229">
        <v>44.97</v>
      </c>
      <c r="W161" s="220">
        <v>32.799999999999997</v>
      </c>
      <c r="X161" s="220">
        <v>32.799999999999997</v>
      </c>
      <c r="Y161" s="220">
        <v>63</v>
      </c>
      <c r="Z161" s="224">
        <v>32.799999999999997</v>
      </c>
      <c r="AA161" s="220">
        <v>15.55</v>
      </c>
      <c r="AB161" s="220">
        <v>15.2</v>
      </c>
      <c r="AC161" s="220">
        <v>15.2</v>
      </c>
      <c r="AD161" s="220">
        <v>15.2</v>
      </c>
      <c r="AE161" s="220">
        <v>15.2</v>
      </c>
      <c r="AF161" s="374" t="s">
        <v>386</v>
      </c>
      <c r="AG161" s="375" t="s">
        <v>386</v>
      </c>
      <c r="AH161" s="375" t="s">
        <v>386</v>
      </c>
      <c r="AI161" s="375" t="s">
        <v>386</v>
      </c>
      <c r="AJ161" s="376" t="s">
        <v>386</v>
      </c>
      <c r="AK161" s="220">
        <v>1560.67</v>
      </c>
      <c r="AL161" s="220">
        <v>781.6</v>
      </c>
      <c r="AM161" s="220">
        <v>914.01</v>
      </c>
      <c r="AN161" s="220">
        <v>1072.0999999999999</v>
      </c>
      <c r="AO161" s="220">
        <v>781.6</v>
      </c>
      <c r="AP161" s="362">
        <v>1407.73</v>
      </c>
      <c r="AQ161" s="363">
        <v>965.57</v>
      </c>
      <c r="AR161" s="363">
        <v>1721.78</v>
      </c>
      <c r="AS161" s="363">
        <v>1721.78</v>
      </c>
      <c r="AT161" s="364">
        <v>1432.35</v>
      </c>
      <c r="AU161" s="220">
        <v>1725.47</v>
      </c>
      <c r="AV161" s="220">
        <v>616</v>
      </c>
      <c r="AW161" s="220">
        <v>1769.01</v>
      </c>
      <c r="AX161" s="220">
        <v>2364.7199999999998</v>
      </c>
      <c r="AY161" s="220">
        <v>1835.13</v>
      </c>
      <c r="AZ161" s="229">
        <v>1271.0899999999999</v>
      </c>
      <c r="BA161" s="220">
        <v>499.2</v>
      </c>
      <c r="BB161" s="220">
        <v>976.74</v>
      </c>
      <c r="BC161" s="220">
        <v>923.31</v>
      </c>
      <c r="BD161" s="224">
        <v>705.78</v>
      </c>
      <c r="BE161" s="220" t="s">
        <v>386</v>
      </c>
      <c r="BF161" s="220" t="s">
        <v>386</v>
      </c>
      <c r="BG161" s="220" t="s">
        <v>386</v>
      </c>
      <c r="BH161" s="220" t="s">
        <v>386</v>
      </c>
      <c r="BI161" s="220" t="s">
        <v>386</v>
      </c>
      <c r="BJ161" s="229" t="s">
        <v>386</v>
      </c>
      <c r="BK161" s="220" t="s">
        <v>386</v>
      </c>
      <c r="BL161" s="220" t="s">
        <v>386</v>
      </c>
      <c r="BM161" s="220" t="s">
        <v>386</v>
      </c>
      <c r="BN161" s="224" t="s">
        <v>386</v>
      </c>
      <c r="BO161" s="220" t="s">
        <v>386</v>
      </c>
      <c r="BP161" s="220" t="s">
        <v>386</v>
      </c>
      <c r="BQ161" s="220" t="s">
        <v>386</v>
      </c>
      <c r="BR161" s="220" t="s">
        <v>386</v>
      </c>
      <c r="BS161" s="224" t="s">
        <v>386</v>
      </c>
      <c r="BT161" s="363" t="s">
        <v>386</v>
      </c>
      <c r="BU161" s="363" t="s">
        <v>386</v>
      </c>
      <c r="BV161" s="363" t="s">
        <v>386</v>
      </c>
      <c r="BW161" s="363" t="s">
        <v>386</v>
      </c>
      <c r="BX161" s="364" t="s">
        <v>386</v>
      </c>
      <c r="BY161" s="363" t="s">
        <v>386</v>
      </c>
      <c r="BZ161" s="363" t="s">
        <v>386</v>
      </c>
      <c r="CA161" s="363" t="s">
        <v>386</v>
      </c>
      <c r="CB161" s="363" t="s">
        <v>386</v>
      </c>
      <c r="CC161" s="363" t="s">
        <v>386</v>
      </c>
      <c r="CD161" s="362" t="s">
        <v>386</v>
      </c>
      <c r="CE161" s="363" t="s">
        <v>386</v>
      </c>
      <c r="CF161" s="363" t="s">
        <v>386</v>
      </c>
      <c r="CG161" s="363" t="s">
        <v>386</v>
      </c>
      <c r="CH161" s="364" t="s">
        <v>386</v>
      </c>
    </row>
    <row r="162" spans="1:86" x14ac:dyDescent="0.25">
      <c r="A162" s="223" t="s">
        <v>271</v>
      </c>
      <c r="B162" s="229" t="s">
        <v>386</v>
      </c>
      <c r="C162" s="220" t="s">
        <v>386</v>
      </c>
      <c r="D162" s="220" t="s">
        <v>386</v>
      </c>
      <c r="E162" s="220" t="s">
        <v>386</v>
      </c>
      <c r="F162" s="224" t="s">
        <v>386</v>
      </c>
      <c r="G162" s="363" t="s">
        <v>386</v>
      </c>
      <c r="H162" s="363" t="s">
        <v>386</v>
      </c>
      <c r="I162" s="363" t="s">
        <v>386</v>
      </c>
      <c r="J162" s="363" t="s">
        <v>386</v>
      </c>
      <c r="K162" s="363" t="s">
        <v>386</v>
      </c>
      <c r="L162" s="362" t="s">
        <v>386</v>
      </c>
      <c r="M162" s="363" t="s">
        <v>386</v>
      </c>
      <c r="N162" s="363" t="s">
        <v>386</v>
      </c>
      <c r="O162" s="363" t="s">
        <v>386</v>
      </c>
      <c r="P162" s="364" t="s">
        <v>386</v>
      </c>
      <c r="Q162" s="363" t="s">
        <v>386</v>
      </c>
      <c r="R162" s="363" t="s">
        <v>386</v>
      </c>
      <c r="S162" s="363" t="s">
        <v>386</v>
      </c>
      <c r="T162" s="363" t="s">
        <v>386</v>
      </c>
      <c r="U162" s="363" t="s">
        <v>386</v>
      </c>
      <c r="V162" s="362" t="s">
        <v>386</v>
      </c>
      <c r="W162" s="363" t="s">
        <v>386</v>
      </c>
      <c r="X162" s="363" t="s">
        <v>386</v>
      </c>
      <c r="Y162" s="363" t="s">
        <v>386</v>
      </c>
      <c r="Z162" s="364" t="s">
        <v>386</v>
      </c>
      <c r="AA162" s="363" t="s">
        <v>386</v>
      </c>
      <c r="AB162" s="363" t="s">
        <v>386</v>
      </c>
      <c r="AC162" s="363" t="s">
        <v>386</v>
      </c>
      <c r="AD162" s="363" t="s">
        <v>386</v>
      </c>
      <c r="AE162" s="363" t="s">
        <v>386</v>
      </c>
      <c r="AF162" s="374" t="s">
        <v>386</v>
      </c>
      <c r="AG162" s="375" t="s">
        <v>386</v>
      </c>
      <c r="AH162" s="375" t="s">
        <v>386</v>
      </c>
      <c r="AI162" s="375" t="s">
        <v>386</v>
      </c>
      <c r="AJ162" s="376" t="s">
        <v>386</v>
      </c>
      <c r="AK162" s="363" t="s">
        <v>386</v>
      </c>
      <c r="AL162" s="363" t="s">
        <v>386</v>
      </c>
      <c r="AM162" s="363" t="s">
        <v>386</v>
      </c>
      <c r="AN162" s="363" t="s">
        <v>386</v>
      </c>
      <c r="AO162" s="363" t="s">
        <v>386</v>
      </c>
      <c r="AP162" s="362" t="s">
        <v>386</v>
      </c>
      <c r="AQ162" s="363" t="s">
        <v>386</v>
      </c>
      <c r="AR162" s="363" t="s">
        <v>386</v>
      </c>
      <c r="AS162" s="363" t="s">
        <v>386</v>
      </c>
      <c r="AT162" s="364" t="s">
        <v>386</v>
      </c>
      <c r="AU162" s="363" t="s">
        <v>386</v>
      </c>
      <c r="AV162" s="363" t="s">
        <v>386</v>
      </c>
      <c r="AW162" s="363" t="s">
        <v>386</v>
      </c>
      <c r="AX162" s="363" t="s">
        <v>386</v>
      </c>
      <c r="AY162" s="363" t="s">
        <v>386</v>
      </c>
      <c r="AZ162" s="362" t="s">
        <v>386</v>
      </c>
      <c r="BA162" s="363" t="s">
        <v>386</v>
      </c>
      <c r="BB162" s="363" t="s">
        <v>386</v>
      </c>
      <c r="BC162" s="363" t="s">
        <v>386</v>
      </c>
      <c r="BD162" s="364" t="s">
        <v>386</v>
      </c>
      <c r="BE162" s="220" t="s">
        <v>386</v>
      </c>
      <c r="BF162" s="220" t="s">
        <v>386</v>
      </c>
      <c r="BG162" s="220" t="s">
        <v>386</v>
      </c>
      <c r="BH162" s="220" t="s">
        <v>386</v>
      </c>
      <c r="BI162" s="220" t="s">
        <v>386</v>
      </c>
      <c r="BJ162" s="229" t="s">
        <v>386</v>
      </c>
      <c r="BK162" s="220" t="s">
        <v>386</v>
      </c>
      <c r="BL162" s="220" t="s">
        <v>386</v>
      </c>
      <c r="BM162" s="220" t="s">
        <v>386</v>
      </c>
      <c r="BN162" s="224" t="s">
        <v>386</v>
      </c>
      <c r="BO162" s="220" t="s">
        <v>386</v>
      </c>
      <c r="BP162" s="220" t="s">
        <v>386</v>
      </c>
      <c r="BQ162" s="220" t="s">
        <v>386</v>
      </c>
      <c r="BR162" s="220" t="s">
        <v>386</v>
      </c>
      <c r="BS162" s="224" t="s">
        <v>386</v>
      </c>
      <c r="BT162" s="363" t="s">
        <v>386</v>
      </c>
      <c r="BU162" s="363" t="s">
        <v>386</v>
      </c>
      <c r="BV162" s="363" t="s">
        <v>386</v>
      </c>
      <c r="BW162" s="363" t="s">
        <v>386</v>
      </c>
      <c r="BX162" s="364" t="s">
        <v>386</v>
      </c>
      <c r="BY162" s="363" t="s">
        <v>386</v>
      </c>
      <c r="BZ162" s="363" t="s">
        <v>386</v>
      </c>
      <c r="CA162" s="363" t="s">
        <v>386</v>
      </c>
      <c r="CB162" s="363" t="s">
        <v>386</v>
      </c>
      <c r="CC162" s="363" t="s">
        <v>386</v>
      </c>
      <c r="CD162" s="362" t="s">
        <v>386</v>
      </c>
      <c r="CE162" s="363" t="s">
        <v>386</v>
      </c>
      <c r="CF162" s="363" t="s">
        <v>386</v>
      </c>
      <c r="CG162" s="363" t="s">
        <v>386</v>
      </c>
      <c r="CH162" s="364" t="s">
        <v>386</v>
      </c>
    </row>
    <row r="163" spans="1:86" x14ac:dyDescent="0.25">
      <c r="A163" s="223" t="s">
        <v>272</v>
      </c>
      <c r="B163" s="229">
        <v>40.28</v>
      </c>
      <c r="C163" s="220">
        <v>30.5</v>
      </c>
      <c r="D163" s="220">
        <v>29.52</v>
      </c>
      <c r="E163" s="220">
        <v>31.46</v>
      </c>
      <c r="F163" s="224">
        <v>40.5</v>
      </c>
      <c r="G163" s="363" t="s">
        <v>386</v>
      </c>
      <c r="H163" s="363" t="s">
        <v>386</v>
      </c>
      <c r="I163" s="363" t="s">
        <v>386</v>
      </c>
      <c r="J163" s="363" t="s">
        <v>386</v>
      </c>
      <c r="K163" s="363" t="s">
        <v>386</v>
      </c>
      <c r="L163" s="229">
        <v>164.04</v>
      </c>
      <c r="M163" s="220">
        <v>175.52</v>
      </c>
      <c r="N163" s="220">
        <v>169.29</v>
      </c>
      <c r="O163" s="220">
        <v>188.78</v>
      </c>
      <c r="P163" s="224">
        <v>162.86000000000001</v>
      </c>
      <c r="Q163" s="220">
        <v>45.69</v>
      </c>
      <c r="R163" s="220">
        <v>28.75</v>
      </c>
      <c r="S163" s="220">
        <v>29.400000000000002</v>
      </c>
      <c r="T163" s="220">
        <v>34.92</v>
      </c>
      <c r="U163" s="220">
        <v>43.64</v>
      </c>
      <c r="V163" s="229">
        <v>28.95</v>
      </c>
      <c r="W163" s="220">
        <v>27.2</v>
      </c>
      <c r="X163" s="220">
        <v>26.66</v>
      </c>
      <c r="Y163" s="220">
        <v>63</v>
      </c>
      <c r="Z163" s="224">
        <v>24</v>
      </c>
      <c r="AA163" s="363">
        <v>11.76</v>
      </c>
      <c r="AB163" s="363">
        <v>11.2</v>
      </c>
      <c r="AC163" s="363">
        <v>12</v>
      </c>
      <c r="AD163" s="363">
        <v>10.4</v>
      </c>
      <c r="AE163" s="363">
        <v>11.2</v>
      </c>
      <c r="AF163" s="229" t="s">
        <v>386</v>
      </c>
      <c r="AG163" s="220" t="s">
        <v>386</v>
      </c>
      <c r="AH163" s="220" t="s">
        <v>386</v>
      </c>
      <c r="AI163" s="220" t="s">
        <v>386</v>
      </c>
      <c r="AJ163" s="224" t="s">
        <v>386</v>
      </c>
      <c r="AK163" s="220">
        <v>1492.87</v>
      </c>
      <c r="AL163" s="220">
        <v>712.8</v>
      </c>
      <c r="AM163" s="220">
        <v>734.4</v>
      </c>
      <c r="AN163" s="220">
        <v>1169.31</v>
      </c>
      <c r="AO163" s="220">
        <v>970.4</v>
      </c>
      <c r="AP163" s="362" t="s">
        <v>386</v>
      </c>
      <c r="AQ163" s="363" t="s">
        <v>386</v>
      </c>
      <c r="AR163" s="363" t="s">
        <v>386</v>
      </c>
      <c r="AS163" s="363" t="s">
        <v>386</v>
      </c>
      <c r="AT163" s="364" t="s">
        <v>386</v>
      </c>
      <c r="AU163" s="220">
        <v>2008.48</v>
      </c>
      <c r="AV163" s="220">
        <v>1218.4000000000001</v>
      </c>
      <c r="AW163" s="220">
        <v>1171.2</v>
      </c>
      <c r="AX163" s="220">
        <v>1458.78</v>
      </c>
      <c r="AY163" s="220">
        <v>1530.78</v>
      </c>
      <c r="AZ163" s="229">
        <v>1417.33</v>
      </c>
      <c r="BA163" s="220">
        <v>999.2</v>
      </c>
      <c r="BB163" s="220">
        <v>767.2</v>
      </c>
      <c r="BC163" s="220">
        <v>853.89</v>
      </c>
      <c r="BD163" s="224">
        <v>1039.01</v>
      </c>
      <c r="BE163" s="220" t="s">
        <v>386</v>
      </c>
      <c r="BF163" s="220" t="s">
        <v>386</v>
      </c>
      <c r="BG163" s="220" t="s">
        <v>386</v>
      </c>
      <c r="BH163" s="220" t="s">
        <v>386</v>
      </c>
      <c r="BI163" s="220" t="s">
        <v>386</v>
      </c>
      <c r="BJ163" s="229">
        <v>857.26</v>
      </c>
      <c r="BK163" s="220">
        <v>476</v>
      </c>
      <c r="BL163" s="220">
        <v>570.4</v>
      </c>
      <c r="BM163" s="220">
        <v>572.79999999999995</v>
      </c>
      <c r="BN163" s="224">
        <v>585.09</v>
      </c>
      <c r="BO163" s="220" t="s">
        <v>386</v>
      </c>
      <c r="BP163" s="220" t="s">
        <v>386</v>
      </c>
      <c r="BQ163" s="220" t="s">
        <v>386</v>
      </c>
      <c r="BR163" s="220" t="s">
        <v>386</v>
      </c>
      <c r="BS163" s="224" t="s">
        <v>386</v>
      </c>
      <c r="BT163" s="220" t="s">
        <v>386</v>
      </c>
      <c r="BU163" s="220" t="s">
        <v>386</v>
      </c>
      <c r="BV163" s="220" t="s">
        <v>386</v>
      </c>
      <c r="BW163" s="220" t="s">
        <v>386</v>
      </c>
      <c r="BX163" s="224" t="s">
        <v>386</v>
      </c>
      <c r="BY163" s="220">
        <v>1108.97</v>
      </c>
      <c r="BZ163" s="220">
        <v>957.6</v>
      </c>
      <c r="CA163" s="220">
        <v>973.6</v>
      </c>
      <c r="CB163" s="220">
        <v>1223.0999999999999</v>
      </c>
      <c r="CC163" s="220">
        <v>878.4</v>
      </c>
      <c r="CD163" s="229">
        <v>1116</v>
      </c>
      <c r="CE163" s="220">
        <v>1098.4000000000001</v>
      </c>
      <c r="CF163" s="220">
        <v>1048.8</v>
      </c>
      <c r="CG163" s="220">
        <v>1128.8699999999999</v>
      </c>
      <c r="CH163" s="224">
        <v>1002.4</v>
      </c>
    </row>
    <row r="164" spans="1:86" x14ac:dyDescent="0.25">
      <c r="A164" s="223" t="s">
        <v>273</v>
      </c>
      <c r="B164" s="229">
        <v>64.73</v>
      </c>
      <c r="C164" s="220">
        <v>34.74</v>
      </c>
      <c r="D164" s="220">
        <v>47.53</v>
      </c>
      <c r="E164" s="220">
        <v>65.84</v>
      </c>
      <c r="F164" s="224">
        <v>59.64</v>
      </c>
      <c r="G164" s="363" t="s">
        <v>386</v>
      </c>
      <c r="H164" s="363" t="s">
        <v>386</v>
      </c>
      <c r="I164" s="363" t="s">
        <v>386</v>
      </c>
      <c r="J164" s="363" t="s">
        <v>386</v>
      </c>
      <c r="K164" s="363" t="s">
        <v>386</v>
      </c>
      <c r="L164" s="229" t="s">
        <v>386</v>
      </c>
      <c r="M164" s="220" t="s">
        <v>386</v>
      </c>
      <c r="N164" s="220" t="s">
        <v>386</v>
      </c>
      <c r="O164" s="220" t="s">
        <v>386</v>
      </c>
      <c r="P164" s="224" t="s">
        <v>386</v>
      </c>
      <c r="Q164" s="220">
        <v>88.34</v>
      </c>
      <c r="R164" s="220">
        <v>74.67</v>
      </c>
      <c r="S164" s="220">
        <v>75.02</v>
      </c>
      <c r="T164" s="220">
        <v>99.53</v>
      </c>
      <c r="U164" s="220">
        <v>97.3</v>
      </c>
      <c r="V164" s="229">
        <v>59.5</v>
      </c>
      <c r="W164" s="220">
        <v>29.45</v>
      </c>
      <c r="X164" s="220">
        <v>26.66</v>
      </c>
      <c r="Y164" s="220">
        <v>63</v>
      </c>
      <c r="Z164" s="224">
        <v>34.340000000000003</v>
      </c>
      <c r="AA164" s="363" t="s">
        <v>386</v>
      </c>
      <c r="AB164" s="363" t="s">
        <v>386</v>
      </c>
      <c r="AC164" s="363" t="s">
        <v>386</v>
      </c>
      <c r="AD164" s="363" t="s">
        <v>386</v>
      </c>
      <c r="AE164" s="363" t="s">
        <v>386</v>
      </c>
      <c r="AF164" s="229" t="s">
        <v>386</v>
      </c>
      <c r="AG164" s="220" t="s">
        <v>386</v>
      </c>
      <c r="AH164" s="220" t="s">
        <v>386</v>
      </c>
      <c r="AI164" s="220" t="s">
        <v>386</v>
      </c>
      <c r="AJ164" s="224" t="s">
        <v>386</v>
      </c>
      <c r="AK164" s="363" t="s">
        <v>386</v>
      </c>
      <c r="AL164" s="363" t="s">
        <v>386</v>
      </c>
      <c r="AM164" s="363" t="s">
        <v>386</v>
      </c>
      <c r="AN164" s="363" t="s">
        <v>386</v>
      </c>
      <c r="AO164" s="363" t="s">
        <v>386</v>
      </c>
      <c r="AP164" s="362" t="s">
        <v>386</v>
      </c>
      <c r="AQ164" s="363" t="s">
        <v>386</v>
      </c>
      <c r="AR164" s="363" t="s">
        <v>386</v>
      </c>
      <c r="AS164" s="363" t="s">
        <v>386</v>
      </c>
      <c r="AT164" s="364" t="s">
        <v>386</v>
      </c>
      <c r="AU164" s="363" t="s">
        <v>386</v>
      </c>
      <c r="AV164" s="363" t="s">
        <v>386</v>
      </c>
      <c r="AW164" s="363" t="s">
        <v>386</v>
      </c>
      <c r="AX164" s="363" t="s">
        <v>386</v>
      </c>
      <c r="AY164" s="363" t="s">
        <v>386</v>
      </c>
      <c r="AZ164" s="362" t="s">
        <v>386</v>
      </c>
      <c r="BA164" s="363" t="s">
        <v>386</v>
      </c>
      <c r="BB164" s="363" t="s">
        <v>386</v>
      </c>
      <c r="BC164" s="363" t="s">
        <v>386</v>
      </c>
      <c r="BD164" s="364" t="s">
        <v>386</v>
      </c>
      <c r="BE164" s="363" t="s">
        <v>386</v>
      </c>
      <c r="BF164" s="363" t="s">
        <v>386</v>
      </c>
      <c r="BG164" s="363" t="s">
        <v>386</v>
      </c>
      <c r="BH164" s="363" t="s">
        <v>386</v>
      </c>
      <c r="BI164" s="363" t="s">
        <v>386</v>
      </c>
      <c r="BJ164" s="362" t="s">
        <v>386</v>
      </c>
      <c r="BK164" s="363" t="s">
        <v>386</v>
      </c>
      <c r="BL164" s="363" t="s">
        <v>386</v>
      </c>
      <c r="BM164" s="363" t="s">
        <v>386</v>
      </c>
      <c r="BN164" s="364" t="s">
        <v>386</v>
      </c>
      <c r="BO164" s="363" t="s">
        <v>386</v>
      </c>
      <c r="BP164" s="363" t="s">
        <v>386</v>
      </c>
      <c r="BQ164" s="363" t="s">
        <v>386</v>
      </c>
      <c r="BR164" s="363" t="s">
        <v>386</v>
      </c>
      <c r="BS164" s="364" t="s">
        <v>386</v>
      </c>
      <c r="BT164" s="363" t="s">
        <v>386</v>
      </c>
      <c r="BU164" s="363" t="s">
        <v>386</v>
      </c>
      <c r="BV164" s="363" t="s">
        <v>386</v>
      </c>
      <c r="BW164" s="363" t="s">
        <v>386</v>
      </c>
      <c r="BX164" s="364" t="s">
        <v>386</v>
      </c>
      <c r="BY164" s="363" t="s">
        <v>386</v>
      </c>
      <c r="BZ164" s="363" t="s">
        <v>386</v>
      </c>
      <c r="CA164" s="363" t="s">
        <v>386</v>
      </c>
      <c r="CB164" s="363" t="s">
        <v>386</v>
      </c>
      <c r="CC164" s="363" t="s">
        <v>386</v>
      </c>
      <c r="CD164" s="362" t="s">
        <v>386</v>
      </c>
      <c r="CE164" s="363" t="s">
        <v>386</v>
      </c>
      <c r="CF164" s="363" t="s">
        <v>386</v>
      </c>
      <c r="CG164" s="363" t="s">
        <v>386</v>
      </c>
      <c r="CH164" s="364" t="s">
        <v>386</v>
      </c>
    </row>
    <row r="165" spans="1:86" x14ac:dyDescent="0.25">
      <c r="A165" s="223" t="s">
        <v>274</v>
      </c>
      <c r="B165" s="229">
        <v>51.22</v>
      </c>
      <c r="C165" s="220">
        <v>30.700000000000003</v>
      </c>
      <c r="D165" s="220">
        <v>31.279999999999998</v>
      </c>
      <c r="E165" s="220">
        <v>39.29</v>
      </c>
      <c r="F165" s="224">
        <v>33.32</v>
      </c>
      <c r="G165" s="363" t="s">
        <v>386</v>
      </c>
      <c r="H165" s="363" t="s">
        <v>386</v>
      </c>
      <c r="I165" s="363" t="s">
        <v>386</v>
      </c>
      <c r="J165" s="363" t="s">
        <v>386</v>
      </c>
      <c r="K165" s="363" t="s">
        <v>386</v>
      </c>
      <c r="L165" s="362">
        <v>164.04</v>
      </c>
      <c r="M165" s="363">
        <v>175.52</v>
      </c>
      <c r="N165" s="363">
        <v>169.29</v>
      </c>
      <c r="O165" s="363">
        <v>188.78</v>
      </c>
      <c r="P165" s="364">
        <v>162.86000000000001</v>
      </c>
      <c r="Q165" s="220">
        <v>56.44</v>
      </c>
      <c r="R165" s="220">
        <v>28.4</v>
      </c>
      <c r="S165" s="220">
        <v>30.830000000000002</v>
      </c>
      <c r="T165" s="220">
        <v>53.96</v>
      </c>
      <c r="U165" s="220">
        <v>40.129999999999995</v>
      </c>
      <c r="V165" s="229">
        <v>44.97</v>
      </c>
      <c r="W165" s="220">
        <v>35.200000000000003</v>
      </c>
      <c r="X165" s="220">
        <v>35.200000000000003</v>
      </c>
      <c r="Y165" s="220">
        <v>63</v>
      </c>
      <c r="Z165" s="224">
        <v>34.4</v>
      </c>
      <c r="AA165" s="363" t="s">
        <v>386</v>
      </c>
      <c r="AB165" s="363" t="s">
        <v>386</v>
      </c>
      <c r="AC165" s="363" t="s">
        <v>386</v>
      </c>
      <c r="AD165" s="363" t="s">
        <v>386</v>
      </c>
      <c r="AE165" s="363" t="s">
        <v>386</v>
      </c>
      <c r="AF165" s="229">
        <v>31</v>
      </c>
      <c r="AG165" s="220">
        <v>28</v>
      </c>
      <c r="AH165" s="220">
        <v>26</v>
      </c>
      <c r="AI165" s="220">
        <v>36</v>
      </c>
      <c r="AJ165" s="224">
        <v>26</v>
      </c>
      <c r="AK165" s="363" t="s">
        <v>386</v>
      </c>
      <c r="AL165" s="363" t="s">
        <v>386</v>
      </c>
      <c r="AM165" s="363" t="s">
        <v>386</v>
      </c>
      <c r="AN165" s="363" t="s">
        <v>386</v>
      </c>
      <c r="AO165" s="363" t="s">
        <v>386</v>
      </c>
      <c r="AP165" s="362">
        <v>1407.73</v>
      </c>
      <c r="AQ165" s="363">
        <v>965.57</v>
      </c>
      <c r="AR165" s="363">
        <v>1721.78</v>
      </c>
      <c r="AS165" s="363">
        <v>1721.78</v>
      </c>
      <c r="AT165" s="364">
        <v>1432.35</v>
      </c>
      <c r="AU165" s="220">
        <v>2398.11</v>
      </c>
      <c r="AV165" s="220">
        <v>858.4</v>
      </c>
      <c r="AW165" s="220">
        <v>970.72</v>
      </c>
      <c r="AX165" s="220">
        <v>1980.86</v>
      </c>
      <c r="AY165" s="220">
        <v>1580.29</v>
      </c>
      <c r="AZ165" s="229">
        <v>1270.72</v>
      </c>
      <c r="BA165" s="220">
        <v>711.2</v>
      </c>
      <c r="BB165" s="220">
        <v>680.8</v>
      </c>
      <c r="BC165" s="220">
        <v>923.31</v>
      </c>
      <c r="BD165" s="224">
        <v>680.8</v>
      </c>
      <c r="BE165" s="220" t="s">
        <v>386</v>
      </c>
      <c r="BF165" s="220" t="s">
        <v>386</v>
      </c>
      <c r="BG165" s="220" t="s">
        <v>386</v>
      </c>
      <c r="BH165" s="220" t="s">
        <v>386</v>
      </c>
      <c r="BI165" s="220" t="s">
        <v>386</v>
      </c>
      <c r="BJ165" s="362" t="s">
        <v>386</v>
      </c>
      <c r="BK165" s="363" t="s">
        <v>386</v>
      </c>
      <c r="BL165" s="363" t="s">
        <v>386</v>
      </c>
      <c r="BM165" s="363" t="s">
        <v>386</v>
      </c>
      <c r="BN165" s="364" t="s">
        <v>386</v>
      </c>
      <c r="BO165" s="363" t="s">
        <v>386</v>
      </c>
      <c r="BP165" s="363" t="s">
        <v>386</v>
      </c>
      <c r="BQ165" s="363" t="s">
        <v>386</v>
      </c>
      <c r="BR165" s="363" t="s">
        <v>386</v>
      </c>
      <c r="BS165" s="364" t="s">
        <v>386</v>
      </c>
      <c r="BT165" s="363" t="s">
        <v>386</v>
      </c>
      <c r="BU165" s="363" t="s">
        <v>386</v>
      </c>
      <c r="BV165" s="363" t="s">
        <v>386</v>
      </c>
      <c r="BW165" s="363" t="s">
        <v>386</v>
      </c>
      <c r="BX165" s="364" t="s">
        <v>386</v>
      </c>
      <c r="BY165" s="363">
        <v>1645.23</v>
      </c>
      <c r="BZ165" s="363">
        <v>728.8</v>
      </c>
      <c r="CA165" s="363">
        <v>807.2</v>
      </c>
      <c r="CB165" s="363">
        <v>1373.21</v>
      </c>
      <c r="CC165" s="363">
        <v>1060.56</v>
      </c>
      <c r="CD165" s="362" t="s">
        <v>386</v>
      </c>
      <c r="CE165" s="363" t="s">
        <v>386</v>
      </c>
      <c r="CF165" s="363" t="s">
        <v>386</v>
      </c>
      <c r="CG165" s="363" t="s">
        <v>386</v>
      </c>
      <c r="CH165" s="364" t="s">
        <v>386</v>
      </c>
    </row>
    <row r="166" spans="1:86" x14ac:dyDescent="0.25">
      <c r="A166" s="223" t="s">
        <v>275</v>
      </c>
      <c r="B166" s="229">
        <v>41.34</v>
      </c>
      <c r="C166" s="220">
        <v>58.540000000000006</v>
      </c>
      <c r="D166" s="220">
        <v>80.240000000000009</v>
      </c>
      <c r="E166" s="220">
        <v>68.199999999999989</v>
      </c>
      <c r="F166" s="224">
        <v>87.929999999999993</v>
      </c>
      <c r="G166" s="220">
        <v>33.090000000000003</v>
      </c>
      <c r="H166" s="220">
        <v>33.659999999999997</v>
      </c>
      <c r="I166" s="220">
        <v>38.53</v>
      </c>
      <c r="J166" s="220">
        <v>34</v>
      </c>
      <c r="K166" s="220">
        <v>29.6</v>
      </c>
      <c r="L166" s="229">
        <v>164.04</v>
      </c>
      <c r="M166" s="220">
        <v>175.52</v>
      </c>
      <c r="N166" s="220">
        <v>169.29</v>
      </c>
      <c r="O166" s="220">
        <v>188.78</v>
      </c>
      <c r="P166" s="224">
        <v>162.86000000000001</v>
      </c>
      <c r="Q166" s="220">
        <v>85.92</v>
      </c>
      <c r="R166" s="220">
        <v>63.690000000000005</v>
      </c>
      <c r="S166" s="220">
        <v>76.61</v>
      </c>
      <c r="T166" s="220">
        <v>69.759999999999991</v>
      </c>
      <c r="U166" s="220">
        <v>69.44</v>
      </c>
      <c r="V166" s="229">
        <v>61</v>
      </c>
      <c r="W166" s="220">
        <v>60</v>
      </c>
      <c r="X166" s="220">
        <v>85</v>
      </c>
      <c r="Y166" s="220">
        <v>71.56</v>
      </c>
      <c r="Z166" s="224">
        <v>60</v>
      </c>
      <c r="AA166" s="363" t="s">
        <v>386</v>
      </c>
      <c r="AB166" s="363" t="s">
        <v>386</v>
      </c>
      <c r="AC166" s="363" t="s">
        <v>386</v>
      </c>
      <c r="AD166" s="363" t="s">
        <v>386</v>
      </c>
      <c r="AE166" s="363" t="s">
        <v>386</v>
      </c>
      <c r="AF166" s="229" t="s">
        <v>386</v>
      </c>
      <c r="AG166" s="220" t="s">
        <v>386</v>
      </c>
      <c r="AH166" s="220" t="s">
        <v>386</v>
      </c>
      <c r="AI166" s="220" t="s">
        <v>386</v>
      </c>
      <c r="AJ166" s="224" t="s">
        <v>386</v>
      </c>
      <c r="AK166" s="220" t="s">
        <v>386</v>
      </c>
      <c r="AL166" s="220" t="s">
        <v>386</v>
      </c>
      <c r="AM166" s="220" t="s">
        <v>386</v>
      </c>
      <c r="AN166" s="220" t="s">
        <v>386</v>
      </c>
      <c r="AO166" s="220" t="s">
        <v>386</v>
      </c>
      <c r="AP166" s="362" t="s">
        <v>386</v>
      </c>
      <c r="AQ166" s="363" t="s">
        <v>386</v>
      </c>
      <c r="AR166" s="363" t="s">
        <v>386</v>
      </c>
      <c r="AS166" s="363" t="s">
        <v>386</v>
      </c>
      <c r="AT166" s="364" t="s">
        <v>386</v>
      </c>
      <c r="AU166" s="363" t="s">
        <v>386</v>
      </c>
      <c r="AV166" s="363" t="s">
        <v>386</v>
      </c>
      <c r="AW166" s="363" t="s">
        <v>386</v>
      </c>
      <c r="AX166" s="363" t="s">
        <v>386</v>
      </c>
      <c r="AY166" s="363" t="s">
        <v>386</v>
      </c>
      <c r="AZ166" s="362" t="s">
        <v>386</v>
      </c>
      <c r="BA166" s="363" t="s">
        <v>386</v>
      </c>
      <c r="BB166" s="363" t="s">
        <v>386</v>
      </c>
      <c r="BC166" s="363" t="s">
        <v>386</v>
      </c>
      <c r="BD166" s="364" t="s">
        <v>386</v>
      </c>
      <c r="BE166" s="363" t="s">
        <v>386</v>
      </c>
      <c r="BF166" s="363" t="s">
        <v>386</v>
      </c>
      <c r="BG166" s="363" t="s">
        <v>386</v>
      </c>
      <c r="BH166" s="363" t="s">
        <v>386</v>
      </c>
      <c r="BI166" s="363" t="s">
        <v>386</v>
      </c>
      <c r="BJ166" s="362" t="s">
        <v>386</v>
      </c>
      <c r="BK166" s="363" t="s">
        <v>386</v>
      </c>
      <c r="BL166" s="363" t="s">
        <v>386</v>
      </c>
      <c r="BM166" s="363" t="s">
        <v>386</v>
      </c>
      <c r="BN166" s="364" t="s">
        <v>386</v>
      </c>
      <c r="BO166" s="363" t="s">
        <v>386</v>
      </c>
      <c r="BP166" s="363" t="s">
        <v>386</v>
      </c>
      <c r="BQ166" s="363" t="s">
        <v>386</v>
      </c>
      <c r="BR166" s="363" t="s">
        <v>386</v>
      </c>
      <c r="BS166" s="364" t="s">
        <v>386</v>
      </c>
      <c r="BT166" s="363" t="s">
        <v>386</v>
      </c>
      <c r="BU166" s="363" t="s">
        <v>386</v>
      </c>
      <c r="BV166" s="363" t="s">
        <v>386</v>
      </c>
      <c r="BW166" s="363" t="s">
        <v>386</v>
      </c>
      <c r="BX166" s="364" t="s">
        <v>386</v>
      </c>
      <c r="BY166" s="363" t="s">
        <v>386</v>
      </c>
      <c r="BZ166" s="363" t="s">
        <v>386</v>
      </c>
      <c r="CA166" s="363" t="s">
        <v>386</v>
      </c>
      <c r="CB166" s="363" t="s">
        <v>386</v>
      </c>
      <c r="CC166" s="363" t="s">
        <v>386</v>
      </c>
      <c r="CD166" s="362" t="s">
        <v>386</v>
      </c>
      <c r="CE166" s="363" t="s">
        <v>386</v>
      </c>
      <c r="CF166" s="363" t="s">
        <v>386</v>
      </c>
      <c r="CG166" s="363" t="s">
        <v>386</v>
      </c>
      <c r="CH166" s="364" t="s">
        <v>386</v>
      </c>
    </row>
    <row r="167" spans="1:86" x14ac:dyDescent="0.25">
      <c r="A167" s="223" t="s">
        <v>276</v>
      </c>
      <c r="B167" s="229">
        <v>35.25</v>
      </c>
      <c r="C167" s="220">
        <v>24.81</v>
      </c>
      <c r="D167" s="220">
        <v>26.380000000000003</v>
      </c>
      <c r="E167" s="220">
        <v>58.54</v>
      </c>
      <c r="F167" s="224">
        <v>34.150000000000006</v>
      </c>
      <c r="G167" s="220" t="s">
        <v>386</v>
      </c>
      <c r="H167" s="220" t="s">
        <v>386</v>
      </c>
      <c r="I167" s="220" t="s">
        <v>386</v>
      </c>
      <c r="J167" s="220" t="s">
        <v>386</v>
      </c>
      <c r="K167" s="220" t="s">
        <v>386</v>
      </c>
      <c r="L167" s="229" t="s">
        <v>386</v>
      </c>
      <c r="M167" s="220" t="s">
        <v>386</v>
      </c>
      <c r="N167" s="220" t="s">
        <v>386</v>
      </c>
      <c r="O167" s="220" t="s">
        <v>386</v>
      </c>
      <c r="P167" s="224" t="s">
        <v>386</v>
      </c>
      <c r="Q167" s="220">
        <v>69.62</v>
      </c>
      <c r="R167" s="220">
        <v>28.549999999999997</v>
      </c>
      <c r="S167" s="220">
        <v>27.32</v>
      </c>
      <c r="T167" s="220">
        <v>51.15</v>
      </c>
      <c r="U167" s="220">
        <v>43.44</v>
      </c>
      <c r="V167" s="229">
        <v>55.2</v>
      </c>
      <c r="W167" s="220">
        <v>55.2</v>
      </c>
      <c r="X167" s="220">
        <v>55.2</v>
      </c>
      <c r="Y167" s="220">
        <v>63</v>
      </c>
      <c r="Z167" s="224">
        <v>64.8</v>
      </c>
      <c r="AA167" s="363" t="s">
        <v>386</v>
      </c>
      <c r="AB167" s="363" t="s">
        <v>386</v>
      </c>
      <c r="AC167" s="363" t="s">
        <v>386</v>
      </c>
      <c r="AD167" s="363" t="s">
        <v>386</v>
      </c>
      <c r="AE167" s="363" t="s">
        <v>386</v>
      </c>
      <c r="AF167" s="229" t="s">
        <v>386</v>
      </c>
      <c r="AG167" s="220" t="s">
        <v>386</v>
      </c>
      <c r="AH167" s="220" t="s">
        <v>386</v>
      </c>
      <c r="AI167" s="220" t="s">
        <v>386</v>
      </c>
      <c r="AJ167" s="224" t="s">
        <v>386</v>
      </c>
      <c r="AK167" s="363" t="s">
        <v>386</v>
      </c>
      <c r="AL167" s="363" t="s">
        <v>386</v>
      </c>
      <c r="AM167" s="363" t="s">
        <v>386</v>
      </c>
      <c r="AN167" s="363" t="s">
        <v>386</v>
      </c>
      <c r="AO167" s="363" t="s">
        <v>386</v>
      </c>
      <c r="AP167" s="362" t="s">
        <v>386</v>
      </c>
      <c r="AQ167" s="363" t="s">
        <v>386</v>
      </c>
      <c r="AR167" s="363" t="s">
        <v>386</v>
      </c>
      <c r="AS167" s="363" t="s">
        <v>386</v>
      </c>
      <c r="AT167" s="364" t="s">
        <v>386</v>
      </c>
      <c r="AU167" s="363" t="s">
        <v>386</v>
      </c>
      <c r="AV167" s="363" t="s">
        <v>386</v>
      </c>
      <c r="AW167" s="363" t="s">
        <v>386</v>
      </c>
      <c r="AX167" s="363" t="s">
        <v>386</v>
      </c>
      <c r="AY167" s="363" t="s">
        <v>386</v>
      </c>
      <c r="AZ167" s="362" t="s">
        <v>386</v>
      </c>
      <c r="BA167" s="363" t="s">
        <v>386</v>
      </c>
      <c r="BB167" s="363" t="s">
        <v>386</v>
      </c>
      <c r="BC167" s="363" t="s">
        <v>386</v>
      </c>
      <c r="BD167" s="364" t="s">
        <v>386</v>
      </c>
      <c r="BE167" s="363" t="s">
        <v>386</v>
      </c>
      <c r="BF167" s="363" t="s">
        <v>386</v>
      </c>
      <c r="BG167" s="363" t="s">
        <v>386</v>
      </c>
      <c r="BH167" s="363" t="s">
        <v>386</v>
      </c>
      <c r="BI167" s="363" t="s">
        <v>386</v>
      </c>
      <c r="BJ167" s="362" t="s">
        <v>386</v>
      </c>
      <c r="BK167" s="363" t="s">
        <v>386</v>
      </c>
      <c r="BL167" s="363" t="s">
        <v>386</v>
      </c>
      <c r="BM167" s="363" t="s">
        <v>386</v>
      </c>
      <c r="BN167" s="364" t="s">
        <v>386</v>
      </c>
      <c r="BO167" s="363" t="s">
        <v>386</v>
      </c>
      <c r="BP167" s="363" t="s">
        <v>386</v>
      </c>
      <c r="BQ167" s="363" t="s">
        <v>386</v>
      </c>
      <c r="BR167" s="363" t="s">
        <v>386</v>
      </c>
      <c r="BS167" s="364" t="s">
        <v>386</v>
      </c>
      <c r="BT167" s="363" t="s">
        <v>386</v>
      </c>
      <c r="BU167" s="363" t="s">
        <v>386</v>
      </c>
      <c r="BV167" s="363" t="s">
        <v>386</v>
      </c>
      <c r="BW167" s="363" t="s">
        <v>386</v>
      </c>
      <c r="BX167" s="364" t="s">
        <v>386</v>
      </c>
      <c r="BY167" s="363" t="s">
        <v>386</v>
      </c>
      <c r="BZ167" s="363" t="s">
        <v>386</v>
      </c>
      <c r="CA167" s="363" t="s">
        <v>386</v>
      </c>
      <c r="CB167" s="363" t="s">
        <v>386</v>
      </c>
      <c r="CC167" s="363" t="s">
        <v>386</v>
      </c>
      <c r="CD167" s="362" t="s">
        <v>386</v>
      </c>
      <c r="CE167" s="363" t="s">
        <v>386</v>
      </c>
      <c r="CF167" s="363" t="s">
        <v>386</v>
      </c>
      <c r="CG167" s="363" t="s">
        <v>386</v>
      </c>
      <c r="CH167" s="364" t="s">
        <v>386</v>
      </c>
    </row>
    <row r="168" spans="1:86" x14ac:dyDescent="0.25">
      <c r="A168" s="223" t="s">
        <v>277</v>
      </c>
      <c r="B168" s="229">
        <v>36.709999999999994</v>
      </c>
      <c r="C168" s="220">
        <v>28.55</v>
      </c>
      <c r="D168" s="220">
        <v>27.64</v>
      </c>
      <c r="E168" s="220">
        <v>28.889999999999997</v>
      </c>
      <c r="F168" s="224">
        <v>26.72</v>
      </c>
      <c r="G168" s="363" t="s">
        <v>386</v>
      </c>
      <c r="H168" s="363" t="s">
        <v>386</v>
      </c>
      <c r="I168" s="363" t="s">
        <v>386</v>
      </c>
      <c r="J168" s="363" t="s">
        <v>386</v>
      </c>
      <c r="K168" s="363" t="s">
        <v>386</v>
      </c>
      <c r="L168" s="229">
        <v>164.04</v>
      </c>
      <c r="M168" s="220">
        <v>175.52</v>
      </c>
      <c r="N168" s="220">
        <v>169.29</v>
      </c>
      <c r="O168" s="220">
        <v>188.78</v>
      </c>
      <c r="P168" s="224">
        <v>162.86000000000001</v>
      </c>
      <c r="Q168" s="220">
        <v>54.52</v>
      </c>
      <c r="R168" s="220">
        <v>30.95</v>
      </c>
      <c r="S168" s="220">
        <v>30.919999999999998</v>
      </c>
      <c r="T168" s="220">
        <v>53.93</v>
      </c>
      <c r="U168" s="220">
        <v>33.059999999999995</v>
      </c>
      <c r="V168" s="229">
        <v>28.95</v>
      </c>
      <c r="W168" s="220">
        <v>28.8</v>
      </c>
      <c r="X168" s="220">
        <v>28</v>
      </c>
      <c r="Y168" s="220">
        <v>63</v>
      </c>
      <c r="Z168" s="224">
        <v>28</v>
      </c>
      <c r="AA168" s="363">
        <v>14</v>
      </c>
      <c r="AB168" s="363">
        <v>9.6</v>
      </c>
      <c r="AC168" s="363">
        <v>11.2</v>
      </c>
      <c r="AD168" s="363">
        <v>12</v>
      </c>
      <c r="AE168" s="363">
        <v>8.7200000000000006</v>
      </c>
      <c r="AF168" s="229" t="s">
        <v>386</v>
      </c>
      <c r="AG168" s="220" t="s">
        <v>386</v>
      </c>
      <c r="AH168" s="220" t="s">
        <v>386</v>
      </c>
      <c r="AI168" s="220" t="s">
        <v>386</v>
      </c>
      <c r="AJ168" s="224" t="s">
        <v>386</v>
      </c>
      <c r="AK168" s="220">
        <v>1060.94</v>
      </c>
      <c r="AL168" s="220">
        <v>1304.8</v>
      </c>
      <c r="AM168" s="220">
        <v>745.6</v>
      </c>
      <c r="AN168" s="220">
        <v>1248.49</v>
      </c>
      <c r="AO168" s="220">
        <v>760</v>
      </c>
      <c r="AP168" s="362" t="s">
        <v>386</v>
      </c>
      <c r="AQ168" s="363" t="s">
        <v>386</v>
      </c>
      <c r="AR168" s="363" t="s">
        <v>386</v>
      </c>
      <c r="AS168" s="363" t="s">
        <v>386</v>
      </c>
      <c r="AT168" s="364" t="s">
        <v>386</v>
      </c>
      <c r="AU168" s="220">
        <v>1948.82</v>
      </c>
      <c r="AV168" s="220">
        <v>967.2</v>
      </c>
      <c r="AW168" s="220">
        <v>1007.2</v>
      </c>
      <c r="AX168" s="220">
        <v>1211.95</v>
      </c>
      <c r="AY168" s="220">
        <v>1080.82</v>
      </c>
      <c r="AZ168" s="229">
        <v>1320.74</v>
      </c>
      <c r="BA168" s="220">
        <v>768.8</v>
      </c>
      <c r="BB168" s="220">
        <v>797.6</v>
      </c>
      <c r="BC168" s="220">
        <v>781.6</v>
      </c>
      <c r="BD168" s="224">
        <v>785.6</v>
      </c>
      <c r="BE168" s="220">
        <v>871.5</v>
      </c>
      <c r="BF168" s="220">
        <v>580.79999999999995</v>
      </c>
      <c r="BG168" s="220">
        <v>652.5</v>
      </c>
      <c r="BH168" s="220">
        <v>920.91</v>
      </c>
      <c r="BI168" s="220">
        <v>801.17</v>
      </c>
      <c r="BJ168" s="229">
        <v>634.19000000000005</v>
      </c>
      <c r="BK168" s="220">
        <v>477.6</v>
      </c>
      <c r="BL168" s="220">
        <v>472.8</v>
      </c>
      <c r="BM168" s="220">
        <v>475.2</v>
      </c>
      <c r="BN168" s="224">
        <v>480</v>
      </c>
      <c r="BO168" s="220" t="s">
        <v>386</v>
      </c>
      <c r="BP168" s="220" t="s">
        <v>386</v>
      </c>
      <c r="BQ168" s="220" t="s">
        <v>386</v>
      </c>
      <c r="BR168" s="220" t="s">
        <v>386</v>
      </c>
      <c r="BS168" s="224" t="s">
        <v>386</v>
      </c>
      <c r="BT168" s="220" t="s">
        <v>386</v>
      </c>
      <c r="BU168" s="220" t="s">
        <v>386</v>
      </c>
      <c r="BV168" s="220" t="s">
        <v>386</v>
      </c>
      <c r="BW168" s="220" t="s">
        <v>386</v>
      </c>
      <c r="BX168" s="224" t="s">
        <v>386</v>
      </c>
      <c r="BY168" s="220">
        <v>1084.72</v>
      </c>
      <c r="BZ168" s="220">
        <v>829.6</v>
      </c>
      <c r="CA168" s="220">
        <v>922.4</v>
      </c>
      <c r="CB168" s="220">
        <v>939.2</v>
      </c>
      <c r="CC168" s="220">
        <v>932.8</v>
      </c>
      <c r="CD168" s="362">
        <v>1058.79</v>
      </c>
      <c r="CE168" s="363">
        <v>924</v>
      </c>
      <c r="CF168" s="363">
        <v>836.8</v>
      </c>
      <c r="CG168" s="363">
        <v>907.38</v>
      </c>
      <c r="CH168" s="364">
        <v>829.6</v>
      </c>
    </row>
    <row r="169" spans="1:86" x14ac:dyDescent="0.25">
      <c r="A169" s="223" t="s">
        <v>278</v>
      </c>
      <c r="B169" s="229">
        <v>53.980000000000004</v>
      </c>
      <c r="C169" s="220">
        <v>34.5</v>
      </c>
      <c r="D169" s="220">
        <v>34.64</v>
      </c>
      <c r="E169" s="220">
        <v>72.72</v>
      </c>
      <c r="F169" s="224">
        <v>65.809999999999988</v>
      </c>
      <c r="G169" s="363" t="s">
        <v>386</v>
      </c>
      <c r="H169" s="363" t="s">
        <v>386</v>
      </c>
      <c r="I169" s="363" t="s">
        <v>386</v>
      </c>
      <c r="J169" s="363" t="s">
        <v>386</v>
      </c>
      <c r="K169" s="363" t="s">
        <v>386</v>
      </c>
      <c r="L169" s="362" t="s">
        <v>386</v>
      </c>
      <c r="M169" s="363" t="s">
        <v>386</v>
      </c>
      <c r="N169" s="363" t="s">
        <v>386</v>
      </c>
      <c r="O169" s="363" t="s">
        <v>386</v>
      </c>
      <c r="P169" s="364" t="s">
        <v>386</v>
      </c>
      <c r="Q169" s="220">
        <v>92.19</v>
      </c>
      <c r="R169" s="220">
        <v>78.97</v>
      </c>
      <c r="S169" s="220">
        <v>94.259999999999991</v>
      </c>
      <c r="T169" s="220">
        <v>113.41</v>
      </c>
      <c r="U169" s="220">
        <v>91.039999999999992</v>
      </c>
      <c r="V169" s="229">
        <v>60</v>
      </c>
      <c r="W169" s="220">
        <v>60</v>
      </c>
      <c r="X169" s="220">
        <v>61.6</v>
      </c>
      <c r="Y169" s="220">
        <v>63</v>
      </c>
      <c r="Z169" s="224">
        <v>61.6</v>
      </c>
      <c r="AA169" s="363" t="s">
        <v>386</v>
      </c>
      <c r="AB169" s="363" t="s">
        <v>386</v>
      </c>
      <c r="AC169" s="363" t="s">
        <v>386</v>
      </c>
      <c r="AD169" s="363" t="s">
        <v>386</v>
      </c>
      <c r="AE169" s="363" t="s">
        <v>386</v>
      </c>
      <c r="AF169" s="229" t="s">
        <v>386</v>
      </c>
      <c r="AG169" s="220" t="s">
        <v>386</v>
      </c>
      <c r="AH169" s="220" t="s">
        <v>386</v>
      </c>
      <c r="AI169" s="220" t="s">
        <v>386</v>
      </c>
      <c r="AJ169" s="224" t="s">
        <v>386</v>
      </c>
      <c r="AK169" s="220" t="s">
        <v>386</v>
      </c>
      <c r="AL169" s="220" t="s">
        <v>386</v>
      </c>
      <c r="AM169" s="220" t="s">
        <v>386</v>
      </c>
      <c r="AN169" s="220" t="s">
        <v>386</v>
      </c>
      <c r="AO169" s="220" t="s">
        <v>386</v>
      </c>
      <c r="AP169" s="362" t="s">
        <v>386</v>
      </c>
      <c r="AQ169" s="363" t="s">
        <v>386</v>
      </c>
      <c r="AR169" s="363" t="s">
        <v>386</v>
      </c>
      <c r="AS169" s="363" t="s">
        <v>386</v>
      </c>
      <c r="AT169" s="364" t="s">
        <v>386</v>
      </c>
      <c r="AU169" s="220">
        <v>2469.77</v>
      </c>
      <c r="AV169" s="220">
        <v>1445</v>
      </c>
      <c r="AW169" s="220">
        <v>1448.65</v>
      </c>
      <c r="AX169" s="220">
        <v>2613.02</v>
      </c>
      <c r="AY169" s="220">
        <v>1529.2</v>
      </c>
      <c r="AZ169" s="362" t="s">
        <v>386</v>
      </c>
      <c r="BA169" s="363" t="s">
        <v>386</v>
      </c>
      <c r="BB169" s="363" t="s">
        <v>386</v>
      </c>
      <c r="BC169" s="363" t="s">
        <v>386</v>
      </c>
      <c r="BD169" s="364" t="s">
        <v>386</v>
      </c>
      <c r="BE169" s="220" t="s">
        <v>386</v>
      </c>
      <c r="BF169" s="220" t="s">
        <v>386</v>
      </c>
      <c r="BG169" s="220" t="s">
        <v>386</v>
      </c>
      <c r="BH169" s="220" t="s">
        <v>386</v>
      </c>
      <c r="BI169" s="220" t="s">
        <v>386</v>
      </c>
      <c r="BJ169" s="362" t="s">
        <v>386</v>
      </c>
      <c r="BK169" s="363" t="s">
        <v>386</v>
      </c>
      <c r="BL169" s="363" t="s">
        <v>386</v>
      </c>
      <c r="BM169" s="363" t="s">
        <v>386</v>
      </c>
      <c r="BN169" s="364" t="s">
        <v>386</v>
      </c>
      <c r="BO169" s="363" t="s">
        <v>386</v>
      </c>
      <c r="BP169" s="363" t="s">
        <v>386</v>
      </c>
      <c r="BQ169" s="363" t="s">
        <v>386</v>
      </c>
      <c r="BR169" s="363" t="s">
        <v>386</v>
      </c>
      <c r="BS169" s="364" t="s">
        <v>386</v>
      </c>
      <c r="BT169" s="363" t="s">
        <v>386</v>
      </c>
      <c r="BU169" s="363" t="s">
        <v>386</v>
      </c>
      <c r="BV169" s="363" t="s">
        <v>386</v>
      </c>
      <c r="BW169" s="363" t="s">
        <v>386</v>
      </c>
      <c r="BX169" s="364" t="s">
        <v>386</v>
      </c>
      <c r="BY169" s="363" t="s">
        <v>386</v>
      </c>
      <c r="BZ169" s="363" t="s">
        <v>386</v>
      </c>
      <c r="CA169" s="363" t="s">
        <v>386</v>
      </c>
      <c r="CB169" s="363" t="s">
        <v>386</v>
      </c>
      <c r="CC169" s="363" t="s">
        <v>386</v>
      </c>
      <c r="CD169" s="362" t="s">
        <v>386</v>
      </c>
      <c r="CE169" s="363" t="s">
        <v>386</v>
      </c>
      <c r="CF169" s="363" t="s">
        <v>386</v>
      </c>
      <c r="CG169" s="363" t="s">
        <v>386</v>
      </c>
      <c r="CH169" s="364" t="s">
        <v>386</v>
      </c>
    </row>
    <row r="170" spans="1:86" x14ac:dyDescent="0.25">
      <c r="A170" s="223" t="s">
        <v>279</v>
      </c>
      <c r="B170" s="229">
        <v>39.65</v>
      </c>
      <c r="C170" s="220">
        <v>24.9</v>
      </c>
      <c r="D170" s="220">
        <v>26.32</v>
      </c>
      <c r="E170" s="220">
        <v>29.99</v>
      </c>
      <c r="F170" s="224">
        <v>32.9</v>
      </c>
      <c r="G170" s="220">
        <v>33.090000000000003</v>
      </c>
      <c r="H170" s="220">
        <v>29.6</v>
      </c>
      <c r="I170" s="220">
        <v>39.049999999999997</v>
      </c>
      <c r="J170" s="220">
        <v>34</v>
      </c>
      <c r="K170" s="220">
        <v>29.6</v>
      </c>
      <c r="L170" s="229" t="s">
        <v>386</v>
      </c>
      <c r="M170" s="220" t="s">
        <v>386</v>
      </c>
      <c r="N170" s="220" t="s">
        <v>386</v>
      </c>
      <c r="O170" s="220" t="s">
        <v>386</v>
      </c>
      <c r="P170" s="224" t="s">
        <v>386</v>
      </c>
      <c r="Q170" s="220">
        <v>48.76</v>
      </c>
      <c r="R170" s="220">
        <v>30.65</v>
      </c>
      <c r="S170" s="220">
        <v>39.519999999999996</v>
      </c>
      <c r="T170" s="220">
        <v>43.110000000000007</v>
      </c>
      <c r="U170" s="220">
        <v>39.46</v>
      </c>
      <c r="V170" s="229">
        <v>43.18</v>
      </c>
      <c r="W170" s="220">
        <v>31.2</v>
      </c>
      <c r="X170" s="220">
        <v>28.8</v>
      </c>
      <c r="Y170" s="220">
        <v>36.909999999999997</v>
      </c>
      <c r="Z170" s="224">
        <v>49.77</v>
      </c>
      <c r="AA170" s="363" t="s">
        <v>386</v>
      </c>
      <c r="AB170" s="363" t="s">
        <v>386</v>
      </c>
      <c r="AC170" s="363" t="s">
        <v>386</v>
      </c>
      <c r="AD170" s="363" t="s">
        <v>386</v>
      </c>
      <c r="AE170" s="363" t="s">
        <v>386</v>
      </c>
      <c r="AF170" s="229">
        <v>31</v>
      </c>
      <c r="AG170" s="220">
        <v>28</v>
      </c>
      <c r="AH170" s="220">
        <v>26</v>
      </c>
      <c r="AI170" s="220">
        <v>25</v>
      </c>
      <c r="AJ170" s="224">
        <v>28</v>
      </c>
      <c r="AK170" s="363" t="s">
        <v>386</v>
      </c>
      <c r="AL170" s="363" t="s">
        <v>386</v>
      </c>
      <c r="AM170" s="363" t="s">
        <v>386</v>
      </c>
      <c r="AN170" s="363" t="s">
        <v>386</v>
      </c>
      <c r="AO170" s="363" t="s">
        <v>386</v>
      </c>
      <c r="AP170" s="362" t="s">
        <v>386</v>
      </c>
      <c r="AQ170" s="363" t="s">
        <v>386</v>
      </c>
      <c r="AR170" s="363" t="s">
        <v>386</v>
      </c>
      <c r="AS170" s="363" t="s">
        <v>386</v>
      </c>
      <c r="AT170" s="364" t="s">
        <v>386</v>
      </c>
      <c r="AU170" s="220">
        <v>2325.17</v>
      </c>
      <c r="AV170" s="220">
        <v>1207.2</v>
      </c>
      <c r="AW170" s="220">
        <v>1813.83</v>
      </c>
      <c r="AX170" s="220">
        <v>2109.73</v>
      </c>
      <c r="AY170" s="220">
        <v>1902.96</v>
      </c>
      <c r="AZ170" s="229">
        <v>2124.9499999999998</v>
      </c>
      <c r="BA170" s="220">
        <v>1024.8</v>
      </c>
      <c r="BB170" s="220">
        <v>1142.54</v>
      </c>
      <c r="BC170" s="220">
        <v>1376.54</v>
      </c>
      <c r="BD170" s="224">
        <v>1491.23</v>
      </c>
      <c r="BE170" s="220">
        <v>852.3</v>
      </c>
      <c r="BF170" s="220">
        <v>687.2</v>
      </c>
      <c r="BG170" s="220">
        <v>1028.47</v>
      </c>
      <c r="BH170" s="220">
        <v>1076.96</v>
      </c>
      <c r="BI170" s="220">
        <v>965.38</v>
      </c>
      <c r="BJ170" s="229">
        <v>783.32</v>
      </c>
      <c r="BK170" s="220">
        <v>380</v>
      </c>
      <c r="BL170" s="220">
        <v>432.7</v>
      </c>
      <c r="BM170" s="220">
        <v>341.97</v>
      </c>
      <c r="BN170" s="224">
        <v>331.31</v>
      </c>
      <c r="BO170" s="220" t="s">
        <v>386</v>
      </c>
      <c r="BP170" s="220" t="s">
        <v>386</v>
      </c>
      <c r="BQ170" s="220" t="s">
        <v>386</v>
      </c>
      <c r="BR170" s="220" t="s">
        <v>386</v>
      </c>
      <c r="BS170" s="224" t="s">
        <v>386</v>
      </c>
      <c r="BT170" s="220" t="s">
        <v>386</v>
      </c>
      <c r="BU170" s="220" t="s">
        <v>386</v>
      </c>
      <c r="BV170" s="220" t="s">
        <v>386</v>
      </c>
      <c r="BW170" s="220" t="s">
        <v>386</v>
      </c>
      <c r="BX170" s="224" t="s">
        <v>386</v>
      </c>
      <c r="BY170" s="220">
        <v>1700.59</v>
      </c>
      <c r="BZ170" s="220">
        <v>981.6</v>
      </c>
      <c r="CA170" s="220">
        <v>1595.72</v>
      </c>
      <c r="CB170" s="220">
        <v>1550.66</v>
      </c>
      <c r="CC170" s="220">
        <v>1415.99</v>
      </c>
      <c r="CD170" s="229">
        <v>1814.82</v>
      </c>
      <c r="CE170" s="220">
        <v>1313.6</v>
      </c>
      <c r="CF170" s="220">
        <v>1381.5</v>
      </c>
      <c r="CG170" s="220">
        <v>1292.8</v>
      </c>
      <c r="CH170" s="224">
        <v>1549.15</v>
      </c>
    </row>
    <row r="171" spans="1:86" x14ac:dyDescent="0.25">
      <c r="A171" s="223" t="s">
        <v>280</v>
      </c>
      <c r="B171" s="229">
        <v>48.69</v>
      </c>
      <c r="C171" s="220">
        <v>21.7</v>
      </c>
      <c r="D171" s="220">
        <v>28.549999999999997</v>
      </c>
      <c r="E171" s="220">
        <v>56.24</v>
      </c>
      <c r="F171" s="224">
        <v>36.97</v>
      </c>
      <c r="G171" s="363" t="s">
        <v>386</v>
      </c>
      <c r="H171" s="363" t="s">
        <v>386</v>
      </c>
      <c r="I171" s="363" t="s">
        <v>386</v>
      </c>
      <c r="J171" s="363" t="s">
        <v>386</v>
      </c>
      <c r="K171" s="363" t="s">
        <v>386</v>
      </c>
      <c r="L171" s="362" t="s">
        <v>386</v>
      </c>
      <c r="M171" s="363" t="s">
        <v>386</v>
      </c>
      <c r="N171" s="363" t="s">
        <v>386</v>
      </c>
      <c r="O171" s="363" t="s">
        <v>386</v>
      </c>
      <c r="P171" s="364" t="s">
        <v>386</v>
      </c>
      <c r="Q171" s="220">
        <v>72.570000000000007</v>
      </c>
      <c r="R171" s="220">
        <v>26</v>
      </c>
      <c r="S171" s="220">
        <v>25.490000000000002</v>
      </c>
      <c r="T171" s="220">
        <v>63.7</v>
      </c>
      <c r="U171" s="220">
        <v>59.23</v>
      </c>
      <c r="V171" s="229">
        <v>61.6</v>
      </c>
      <c r="W171" s="220">
        <v>18.739999999999998</v>
      </c>
      <c r="X171" s="220">
        <v>26.66</v>
      </c>
      <c r="Y171" s="220">
        <v>63</v>
      </c>
      <c r="Z171" s="224">
        <v>30.33</v>
      </c>
      <c r="AA171" s="363" t="s">
        <v>386</v>
      </c>
      <c r="AB171" s="363" t="s">
        <v>386</v>
      </c>
      <c r="AC171" s="363" t="s">
        <v>386</v>
      </c>
      <c r="AD171" s="363" t="s">
        <v>386</v>
      </c>
      <c r="AE171" s="363" t="s">
        <v>386</v>
      </c>
      <c r="AF171" s="229" t="s">
        <v>386</v>
      </c>
      <c r="AG171" s="220" t="s">
        <v>386</v>
      </c>
      <c r="AH171" s="220" t="s">
        <v>386</v>
      </c>
      <c r="AI171" s="220" t="s">
        <v>386</v>
      </c>
      <c r="AJ171" s="224" t="s">
        <v>386</v>
      </c>
      <c r="AK171" s="220">
        <v>1632.49</v>
      </c>
      <c r="AL171" s="220">
        <v>757.6</v>
      </c>
      <c r="AM171" s="220">
        <v>949.4</v>
      </c>
      <c r="AN171" s="220">
        <v>1072.0999999999999</v>
      </c>
      <c r="AO171" s="220">
        <v>960.16</v>
      </c>
      <c r="AP171" s="362" t="s">
        <v>386</v>
      </c>
      <c r="AQ171" s="363" t="s">
        <v>386</v>
      </c>
      <c r="AR171" s="363" t="s">
        <v>386</v>
      </c>
      <c r="AS171" s="363" t="s">
        <v>386</v>
      </c>
      <c r="AT171" s="364" t="s">
        <v>386</v>
      </c>
      <c r="AU171" s="363">
        <v>2165.9</v>
      </c>
      <c r="AV171" s="363">
        <v>833.4</v>
      </c>
      <c r="AW171" s="363">
        <v>2157.59</v>
      </c>
      <c r="AX171" s="363">
        <v>2243.5</v>
      </c>
      <c r="AY171" s="363">
        <v>1884.47</v>
      </c>
      <c r="AZ171" s="362">
        <v>1314.38</v>
      </c>
      <c r="BA171" s="363">
        <v>748.4</v>
      </c>
      <c r="BB171" s="363">
        <v>748.4</v>
      </c>
      <c r="BC171" s="363">
        <v>923.31</v>
      </c>
      <c r="BD171" s="364">
        <v>748.4</v>
      </c>
      <c r="BE171" s="220" t="s">
        <v>386</v>
      </c>
      <c r="BF171" s="220" t="s">
        <v>386</v>
      </c>
      <c r="BG171" s="220" t="s">
        <v>386</v>
      </c>
      <c r="BH171" s="220" t="s">
        <v>386</v>
      </c>
      <c r="BI171" s="220" t="s">
        <v>386</v>
      </c>
      <c r="BJ171" s="362" t="s">
        <v>386</v>
      </c>
      <c r="BK171" s="363" t="s">
        <v>386</v>
      </c>
      <c r="BL171" s="363" t="s">
        <v>386</v>
      </c>
      <c r="BM171" s="363" t="s">
        <v>386</v>
      </c>
      <c r="BN171" s="364" t="s">
        <v>386</v>
      </c>
      <c r="BO171" s="363" t="s">
        <v>386</v>
      </c>
      <c r="BP171" s="363" t="s">
        <v>386</v>
      </c>
      <c r="BQ171" s="363" t="s">
        <v>386</v>
      </c>
      <c r="BR171" s="363" t="s">
        <v>386</v>
      </c>
      <c r="BS171" s="364" t="s">
        <v>386</v>
      </c>
      <c r="BT171" s="363" t="s">
        <v>386</v>
      </c>
      <c r="BU171" s="363" t="s">
        <v>386</v>
      </c>
      <c r="BV171" s="363" t="s">
        <v>386</v>
      </c>
      <c r="BW171" s="363" t="s">
        <v>386</v>
      </c>
      <c r="BX171" s="364" t="s">
        <v>386</v>
      </c>
      <c r="BY171" s="363" t="s">
        <v>386</v>
      </c>
      <c r="BZ171" s="363" t="s">
        <v>386</v>
      </c>
      <c r="CA171" s="363" t="s">
        <v>386</v>
      </c>
      <c r="CB171" s="363" t="s">
        <v>386</v>
      </c>
      <c r="CC171" s="363" t="s">
        <v>386</v>
      </c>
      <c r="CD171" s="362" t="s">
        <v>386</v>
      </c>
      <c r="CE171" s="363" t="s">
        <v>386</v>
      </c>
      <c r="CF171" s="363" t="s">
        <v>386</v>
      </c>
      <c r="CG171" s="363" t="s">
        <v>386</v>
      </c>
      <c r="CH171" s="364" t="s">
        <v>386</v>
      </c>
    </row>
    <row r="172" spans="1:86" x14ac:dyDescent="0.25">
      <c r="A172" s="223" t="s">
        <v>281</v>
      </c>
      <c r="B172" s="229" t="s">
        <v>386</v>
      </c>
      <c r="C172" s="220" t="s">
        <v>386</v>
      </c>
      <c r="D172" s="220" t="s">
        <v>386</v>
      </c>
      <c r="E172" s="220" t="s">
        <v>386</v>
      </c>
      <c r="F172" s="224" t="s">
        <v>386</v>
      </c>
      <c r="G172" s="363" t="s">
        <v>386</v>
      </c>
      <c r="H172" s="363" t="s">
        <v>386</v>
      </c>
      <c r="I172" s="363" t="s">
        <v>386</v>
      </c>
      <c r="J172" s="363" t="s">
        <v>386</v>
      </c>
      <c r="K172" s="363" t="s">
        <v>386</v>
      </c>
      <c r="L172" s="229" t="s">
        <v>386</v>
      </c>
      <c r="M172" s="220" t="s">
        <v>386</v>
      </c>
      <c r="N172" s="220" t="s">
        <v>386</v>
      </c>
      <c r="O172" s="220" t="s">
        <v>386</v>
      </c>
      <c r="P172" s="224" t="s">
        <v>386</v>
      </c>
      <c r="Q172" s="220" t="s">
        <v>386</v>
      </c>
      <c r="R172" s="220" t="s">
        <v>386</v>
      </c>
      <c r="S172" s="220" t="s">
        <v>386</v>
      </c>
      <c r="T172" s="220" t="s">
        <v>386</v>
      </c>
      <c r="U172" s="220" t="s">
        <v>386</v>
      </c>
      <c r="V172" s="229" t="s">
        <v>386</v>
      </c>
      <c r="W172" s="220" t="s">
        <v>386</v>
      </c>
      <c r="X172" s="220" t="s">
        <v>386</v>
      </c>
      <c r="Y172" s="220" t="s">
        <v>386</v>
      </c>
      <c r="Z172" s="224" t="s">
        <v>386</v>
      </c>
      <c r="AA172" s="363" t="s">
        <v>386</v>
      </c>
      <c r="AB172" s="363" t="s">
        <v>386</v>
      </c>
      <c r="AC172" s="363" t="s">
        <v>386</v>
      </c>
      <c r="AD172" s="363" t="s">
        <v>386</v>
      </c>
      <c r="AE172" s="363" t="s">
        <v>386</v>
      </c>
      <c r="AF172" s="229" t="s">
        <v>386</v>
      </c>
      <c r="AG172" s="220" t="s">
        <v>386</v>
      </c>
      <c r="AH172" s="220" t="s">
        <v>386</v>
      </c>
      <c r="AI172" s="220" t="s">
        <v>386</v>
      </c>
      <c r="AJ172" s="224" t="s">
        <v>386</v>
      </c>
      <c r="AK172" s="363" t="s">
        <v>386</v>
      </c>
      <c r="AL172" s="363" t="s">
        <v>386</v>
      </c>
      <c r="AM172" s="363" t="s">
        <v>386</v>
      </c>
      <c r="AN172" s="363" t="s">
        <v>386</v>
      </c>
      <c r="AO172" s="363" t="s">
        <v>386</v>
      </c>
      <c r="AP172" s="362" t="s">
        <v>386</v>
      </c>
      <c r="AQ172" s="363" t="s">
        <v>386</v>
      </c>
      <c r="AR172" s="363" t="s">
        <v>386</v>
      </c>
      <c r="AS172" s="363" t="s">
        <v>386</v>
      </c>
      <c r="AT172" s="364" t="s">
        <v>386</v>
      </c>
      <c r="AU172" s="363" t="s">
        <v>386</v>
      </c>
      <c r="AV172" s="363" t="s">
        <v>386</v>
      </c>
      <c r="AW172" s="363" t="s">
        <v>386</v>
      </c>
      <c r="AX172" s="363" t="s">
        <v>386</v>
      </c>
      <c r="AY172" s="363" t="s">
        <v>386</v>
      </c>
      <c r="AZ172" s="362" t="s">
        <v>386</v>
      </c>
      <c r="BA172" s="363" t="s">
        <v>386</v>
      </c>
      <c r="BB172" s="363" t="s">
        <v>386</v>
      </c>
      <c r="BC172" s="363" t="s">
        <v>386</v>
      </c>
      <c r="BD172" s="364" t="s">
        <v>386</v>
      </c>
      <c r="BE172" s="363" t="s">
        <v>386</v>
      </c>
      <c r="BF172" s="363" t="s">
        <v>386</v>
      </c>
      <c r="BG172" s="363" t="s">
        <v>386</v>
      </c>
      <c r="BH172" s="363" t="s">
        <v>386</v>
      </c>
      <c r="BI172" s="363" t="s">
        <v>386</v>
      </c>
      <c r="BJ172" s="229" t="s">
        <v>386</v>
      </c>
      <c r="BK172" s="220" t="s">
        <v>386</v>
      </c>
      <c r="BL172" s="220" t="s">
        <v>386</v>
      </c>
      <c r="BM172" s="220" t="s">
        <v>386</v>
      </c>
      <c r="BN172" s="224" t="s">
        <v>386</v>
      </c>
      <c r="BO172" s="220" t="s">
        <v>386</v>
      </c>
      <c r="BP172" s="220" t="s">
        <v>386</v>
      </c>
      <c r="BQ172" s="220" t="s">
        <v>386</v>
      </c>
      <c r="BR172" s="220" t="s">
        <v>386</v>
      </c>
      <c r="BS172" s="224" t="s">
        <v>386</v>
      </c>
      <c r="BT172" s="363" t="s">
        <v>386</v>
      </c>
      <c r="BU172" s="363" t="s">
        <v>386</v>
      </c>
      <c r="BV172" s="363" t="s">
        <v>386</v>
      </c>
      <c r="BW172" s="363" t="s">
        <v>386</v>
      </c>
      <c r="BX172" s="364" t="s">
        <v>386</v>
      </c>
      <c r="BY172" s="363" t="s">
        <v>386</v>
      </c>
      <c r="BZ172" s="363" t="s">
        <v>386</v>
      </c>
      <c r="CA172" s="363" t="s">
        <v>386</v>
      </c>
      <c r="CB172" s="363" t="s">
        <v>386</v>
      </c>
      <c r="CC172" s="363" t="s">
        <v>386</v>
      </c>
      <c r="CD172" s="362" t="s">
        <v>386</v>
      </c>
      <c r="CE172" s="363" t="s">
        <v>386</v>
      </c>
      <c r="CF172" s="363" t="s">
        <v>386</v>
      </c>
      <c r="CG172" s="363" t="s">
        <v>386</v>
      </c>
      <c r="CH172" s="364" t="s">
        <v>386</v>
      </c>
    </row>
    <row r="173" spans="1:86" x14ac:dyDescent="0.25">
      <c r="A173" s="223" t="s">
        <v>282</v>
      </c>
      <c r="B173" s="229">
        <v>46.64</v>
      </c>
      <c r="C173" s="220">
        <v>21.400000000000002</v>
      </c>
      <c r="D173" s="220">
        <v>22.080000000000002</v>
      </c>
      <c r="E173" s="220">
        <v>43.03</v>
      </c>
      <c r="F173" s="224">
        <v>43.99</v>
      </c>
      <c r="G173" s="220">
        <v>33.090000000000003</v>
      </c>
      <c r="H173" s="220">
        <v>33.659999999999997</v>
      </c>
      <c r="I173" s="220">
        <v>38.53</v>
      </c>
      <c r="J173" s="220">
        <v>34</v>
      </c>
      <c r="K173" s="220">
        <v>29.6</v>
      </c>
      <c r="L173" s="229">
        <v>198.3</v>
      </c>
      <c r="M173" s="220">
        <v>195.75</v>
      </c>
      <c r="N173" s="220">
        <v>195.98</v>
      </c>
      <c r="O173" s="220">
        <v>188.78</v>
      </c>
      <c r="P173" s="224">
        <v>187.19</v>
      </c>
      <c r="Q173" s="220">
        <v>44.15</v>
      </c>
      <c r="R173" s="220">
        <v>16.8</v>
      </c>
      <c r="S173" s="220">
        <v>30.84</v>
      </c>
      <c r="T173" s="220">
        <v>57.16</v>
      </c>
      <c r="U173" s="220">
        <v>28.43</v>
      </c>
      <c r="V173" s="229">
        <v>44.97</v>
      </c>
      <c r="W173" s="220">
        <v>26.4</v>
      </c>
      <c r="X173" s="220">
        <v>34.4</v>
      </c>
      <c r="Y173" s="220">
        <v>63</v>
      </c>
      <c r="Z173" s="224">
        <v>32.799999999999997</v>
      </c>
      <c r="AA173" s="363" t="s">
        <v>386</v>
      </c>
      <c r="AB173" s="363" t="s">
        <v>386</v>
      </c>
      <c r="AC173" s="363" t="s">
        <v>386</v>
      </c>
      <c r="AD173" s="363" t="s">
        <v>386</v>
      </c>
      <c r="AE173" s="363" t="s">
        <v>386</v>
      </c>
      <c r="AF173" s="229" t="s">
        <v>386</v>
      </c>
      <c r="AG173" s="220" t="s">
        <v>386</v>
      </c>
      <c r="AH173" s="220" t="s">
        <v>386</v>
      </c>
      <c r="AI173" s="220" t="s">
        <v>386</v>
      </c>
      <c r="AJ173" s="224" t="s">
        <v>386</v>
      </c>
      <c r="AK173" s="363" t="s">
        <v>386</v>
      </c>
      <c r="AL173" s="363" t="s">
        <v>386</v>
      </c>
      <c r="AM173" s="363" t="s">
        <v>386</v>
      </c>
      <c r="AN173" s="363" t="s">
        <v>386</v>
      </c>
      <c r="AO173" s="363" t="s">
        <v>386</v>
      </c>
      <c r="AP173" s="362" t="s">
        <v>386</v>
      </c>
      <c r="AQ173" s="363" t="s">
        <v>386</v>
      </c>
      <c r="AR173" s="363" t="s">
        <v>386</v>
      </c>
      <c r="AS173" s="363" t="s">
        <v>386</v>
      </c>
      <c r="AT173" s="364" t="s">
        <v>386</v>
      </c>
      <c r="AU173" s="363">
        <v>1725.47</v>
      </c>
      <c r="AV173" s="363">
        <v>833.4</v>
      </c>
      <c r="AW173" s="363">
        <v>1769.01</v>
      </c>
      <c r="AX173" s="363">
        <v>2364.7199999999998</v>
      </c>
      <c r="AY173" s="363">
        <v>1835.13</v>
      </c>
      <c r="AZ173" s="362" t="s">
        <v>386</v>
      </c>
      <c r="BA173" s="363" t="s">
        <v>386</v>
      </c>
      <c r="BB173" s="363" t="s">
        <v>386</v>
      </c>
      <c r="BC173" s="363" t="s">
        <v>386</v>
      </c>
      <c r="BD173" s="364" t="s">
        <v>386</v>
      </c>
      <c r="BE173" s="220">
        <v>940.03</v>
      </c>
      <c r="BF173" s="220">
        <v>538.4</v>
      </c>
      <c r="BG173" s="220">
        <v>542.79999999999995</v>
      </c>
      <c r="BH173" s="220">
        <v>885.94</v>
      </c>
      <c r="BI173" s="220">
        <v>815.76</v>
      </c>
      <c r="BJ173" s="229" t="s">
        <v>386</v>
      </c>
      <c r="BK173" s="220" t="s">
        <v>386</v>
      </c>
      <c r="BL173" s="220" t="s">
        <v>386</v>
      </c>
      <c r="BM173" s="220" t="s">
        <v>386</v>
      </c>
      <c r="BN173" s="224" t="s">
        <v>386</v>
      </c>
      <c r="BO173" s="220" t="s">
        <v>386</v>
      </c>
      <c r="BP173" s="220" t="s">
        <v>386</v>
      </c>
      <c r="BQ173" s="220" t="s">
        <v>386</v>
      </c>
      <c r="BR173" s="220" t="s">
        <v>386</v>
      </c>
      <c r="BS173" s="224" t="s">
        <v>386</v>
      </c>
      <c r="BT173" s="363" t="s">
        <v>386</v>
      </c>
      <c r="BU173" s="363" t="s">
        <v>386</v>
      </c>
      <c r="BV173" s="363" t="s">
        <v>386</v>
      </c>
      <c r="BW173" s="363" t="s">
        <v>386</v>
      </c>
      <c r="BX173" s="364" t="s">
        <v>386</v>
      </c>
      <c r="BY173" s="363" t="s">
        <v>386</v>
      </c>
      <c r="BZ173" s="363" t="s">
        <v>386</v>
      </c>
      <c r="CA173" s="363" t="s">
        <v>386</v>
      </c>
      <c r="CB173" s="363" t="s">
        <v>386</v>
      </c>
      <c r="CC173" s="363" t="s">
        <v>386</v>
      </c>
      <c r="CD173" s="362" t="s">
        <v>386</v>
      </c>
      <c r="CE173" s="363" t="s">
        <v>386</v>
      </c>
      <c r="CF173" s="363" t="s">
        <v>386</v>
      </c>
      <c r="CG173" s="363" t="s">
        <v>386</v>
      </c>
      <c r="CH173" s="364" t="s">
        <v>386</v>
      </c>
    </row>
    <row r="174" spans="1:86" x14ac:dyDescent="0.25">
      <c r="A174" s="223" t="s">
        <v>283</v>
      </c>
      <c r="B174" s="229">
        <v>33.510000000000005</v>
      </c>
      <c r="C174" s="220">
        <v>20.7</v>
      </c>
      <c r="D174" s="220">
        <v>29.369999999999997</v>
      </c>
      <c r="E174" s="220">
        <v>52.57</v>
      </c>
      <c r="F174" s="224">
        <v>35.76</v>
      </c>
      <c r="G174" s="363" t="s">
        <v>386</v>
      </c>
      <c r="H174" s="363" t="s">
        <v>386</v>
      </c>
      <c r="I174" s="363" t="s">
        <v>386</v>
      </c>
      <c r="J174" s="363" t="s">
        <v>386</v>
      </c>
      <c r="K174" s="363" t="s">
        <v>386</v>
      </c>
      <c r="L174" s="362" t="s">
        <v>386</v>
      </c>
      <c r="M174" s="363" t="s">
        <v>386</v>
      </c>
      <c r="N174" s="363" t="s">
        <v>386</v>
      </c>
      <c r="O174" s="363" t="s">
        <v>386</v>
      </c>
      <c r="P174" s="364" t="s">
        <v>386</v>
      </c>
      <c r="Q174" s="220">
        <v>72.44</v>
      </c>
      <c r="R174" s="220">
        <v>31.38</v>
      </c>
      <c r="S174" s="220">
        <v>39.54</v>
      </c>
      <c r="T174" s="220">
        <v>64.37</v>
      </c>
      <c r="U174" s="220">
        <v>70.86</v>
      </c>
      <c r="V174" s="229">
        <v>46.4</v>
      </c>
      <c r="W174" s="220">
        <v>59.2</v>
      </c>
      <c r="X174" s="220">
        <v>59.2</v>
      </c>
      <c r="Y174" s="220">
        <v>63</v>
      </c>
      <c r="Z174" s="224">
        <v>59.2</v>
      </c>
      <c r="AA174" s="363" t="s">
        <v>386</v>
      </c>
      <c r="AB174" s="363" t="s">
        <v>386</v>
      </c>
      <c r="AC174" s="363" t="s">
        <v>386</v>
      </c>
      <c r="AD174" s="363" t="s">
        <v>386</v>
      </c>
      <c r="AE174" s="363" t="s">
        <v>386</v>
      </c>
      <c r="AF174" s="374" t="s">
        <v>386</v>
      </c>
      <c r="AG174" s="375" t="s">
        <v>386</v>
      </c>
      <c r="AH174" s="375" t="s">
        <v>386</v>
      </c>
      <c r="AI174" s="375" t="s">
        <v>386</v>
      </c>
      <c r="AJ174" s="376" t="s">
        <v>386</v>
      </c>
      <c r="AK174" s="363">
        <v>1560.67</v>
      </c>
      <c r="AL174" s="363">
        <v>906.4</v>
      </c>
      <c r="AM174" s="363">
        <v>949.4</v>
      </c>
      <c r="AN174" s="363">
        <v>1072.0999999999999</v>
      </c>
      <c r="AO174" s="363">
        <v>949.4</v>
      </c>
      <c r="AP174" s="362">
        <v>1407.73</v>
      </c>
      <c r="AQ174" s="363">
        <v>965.57</v>
      </c>
      <c r="AR174" s="363">
        <v>1721.78</v>
      </c>
      <c r="AS174" s="363">
        <v>1721.78</v>
      </c>
      <c r="AT174" s="364">
        <v>1432.35</v>
      </c>
      <c r="AU174" s="363" t="s">
        <v>386</v>
      </c>
      <c r="AV174" s="363" t="s">
        <v>386</v>
      </c>
      <c r="AW174" s="363" t="s">
        <v>386</v>
      </c>
      <c r="AX174" s="363" t="s">
        <v>386</v>
      </c>
      <c r="AY174" s="363" t="s">
        <v>386</v>
      </c>
      <c r="AZ174" s="362">
        <v>1586.43</v>
      </c>
      <c r="BA174" s="363">
        <v>770.4</v>
      </c>
      <c r="BB174" s="363">
        <v>772.93</v>
      </c>
      <c r="BC174" s="363">
        <v>1060.3</v>
      </c>
      <c r="BD174" s="364">
        <v>748.4</v>
      </c>
      <c r="BE174" s="220" t="s">
        <v>386</v>
      </c>
      <c r="BF174" s="220" t="s">
        <v>386</v>
      </c>
      <c r="BG174" s="220" t="s">
        <v>386</v>
      </c>
      <c r="BH174" s="220" t="s">
        <v>386</v>
      </c>
      <c r="BI174" s="220" t="s">
        <v>386</v>
      </c>
      <c r="BJ174" s="362">
        <v>755.15</v>
      </c>
      <c r="BK174" s="363">
        <v>415.6</v>
      </c>
      <c r="BL174" s="363">
        <v>415.6</v>
      </c>
      <c r="BM174" s="363">
        <v>456.38</v>
      </c>
      <c r="BN174" s="364">
        <v>466.37</v>
      </c>
      <c r="BO174" s="363" t="s">
        <v>386</v>
      </c>
      <c r="BP174" s="363" t="s">
        <v>386</v>
      </c>
      <c r="BQ174" s="363" t="s">
        <v>386</v>
      </c>
      <c r="BR174" s="363" t="s">
        <v>386</v>
      </c>
      <c r="BS174" s="364" t="s">
        <v>386</v>
      </c>
      <c r="BT174" s="363" t="s">
        <v>386</v>
      </c>
      <c r="BU174" s="363" t="s">
        <v>386</v>
      </c>
      <c r="BV174" s="363" t="s">
        <v>386</v>
      </c>
      <c r="BW174" s="363" t="s">
        <v>386</v>
      </c>
      <c r="BX174" s="364" t="s">
        <v>386</v>
      </c>
      <c r="BY174" s="363">
        <v>1585.32</v>
      </c>
      <c r="BZ174" s="363">
        <v>757.6</v>
      </c>
      <c r="CA174" s="363">
        <v>822.47</v>
      </c>
      <c r="CB174" s="363">
        <v>1219.75</v>
      </c>
      <c r="CC174" s="363">
        <v>957.18</v>
      </c>
      <c r="CD174" s="362" t="s">
        <v>386</v>
      </c>
      <c r="CE174" s="363" t="s">
        <v>386</v>
      </c>
      <c r="CF174" s="363" t="s">
        <v>386</v>
      </c>
      <c r="CG174" s="363" t="s">
        <v>386</v>
      </c>
      <c r="CH174" s="364" t="s">
        <v>386</v>
      </c>
    </row>
    <row r="175" spans="1:86" x14ac:dyDescent="0.25">
      <c r="A175" s="223" t="s">
        <v>284</v>
      </c>
      <c r="B175" s="229">
        <v>25.94</v>
      </c>
      <c r="C175" s="220">
        <v>21.3</v>
      </c>
      <c r="D175" s="220">
        <v>20.399999999999999</v>
      </c>
      <c r="E175" s="220">
        <v>37.44</v>
      </c>
      <c r="F175" s="224">
        <v>32.520000000000003</v>
      </c>
      <c r="G175" s="363">
        <v>33.090000000000003</v>
      </c>
      <c r="H175" s="363">
        <v>33.659999999999997</v>
      </c>
      <c r="I175" s="363">
        <v>38.53</v>
      </c>
      <c r="J175" s="363">
        <v>34</v>
      </c>
      <c r="K175" s="363">
        <v>28.23</v>
      </c>
      <c r="L175" s="229">
        <v>164.04</v>
      </c>
      <c r="M175" s="220">
        <v>175.52</v>
      </c>
      <c r="N175" s="220">
        <v>186.36</v>
      </c>
      <c r="O175" s="220">
        <v>188.78</v>
      </c>
      <c r="P175" s="224">
        <v>162.86000000000001</v>
      </c>
      <c r="Q175" s="220">
        <v>42.03</v>
      </c>
      <c r="R175" s="220">
        <v>19.2</v>
      </c>
      <c r="S175" s="220">
        <v>39.42</v>
      </c>
      <c r="T175" s="220">
        <v>57.22</v>
      </c>
      <c r="U175" s="220">
        <v>37.6</v>
      </c>
      <c r="V175" s="229">
        <v>44.97</v>
      </c>
      <c r="W175" s="220">
        <v>21.6</v>
      </c>
      <c r="X175" s="220">
        <v>26.66</v>
      </c>
      <c r="Y175" s="220">
        <v>63</v>
      </c>
      <c r="Z175" s="224">
        <v>30.33</v>
      </c>
      <c r="AA175" s="363" t="s">
        <v>386</v>
      </c>
      <c r="AB175" s="363" t="s">
        <v>386</v>
      </c>
      <c r="AC175" s="363" t="s">
        <v>386</v>
      </c>
      <c r="AD175" s="363" t="s">
        <v>386</v>
      </c>
      <c r="AE175" s="363" t="s">
        <v>386</v>
      </c>
      <c r="AF175" s="374" t="s">
        <v>386</v>
      </c>
      <c r="AG175" s="375" t="s">
        <v>386</v>
      </c>
      <c r="AH175" s="375" t="s">
        <v>386</v>
      </c>
      <c r="AI175" s="375" t="s">
        <v>386</v>
      </c>
      <c r="AJ175" s="376" t="s">
        <v>386</v>
      </c>
      <c r="AK175" s="363" t="s">
        <v>386</v>
      </c>
      <c r="AL175" s="363" t="s">
        <v>386</v>
      </c>
      <c r="AM175" s="363" t="s">
        <v>386</v>
      </c>
      <c r="AN175" s="363" t="s">
        <v>386</v>
      </c>
      <c r="AO175" s="363" t="s">
        <v>386</v>
      </c>
      <c r="AP175" s="362">
        <v>1407.73</v>
      </c>
      <c r="AQ175" s="363">
        <v>965.57</v>
      </c>
      <c r="AR175" s="363">
        <v>1721.78</v>
      </c>
      <c r="AS175" s="363">
        <v>1721.78</v>
      </c>
      <c r="AT175" s="364">
        <v>1432.35</v>
      </c>
      <c r="AU175" s="363">
        <v>1725.47</v>
      </c>
      <c r="AV175" s="363">
        <v>833.4</v>
      </c>
      <c r="AW175" s="363">
        <v>1069.58</v>
      </c>
      <c r="AX175" s="363">
        <v>1734.56</v>
      </c>
      <c r="AY175" s="363">
        <v>1438</v>
      </c>
      <c r="AZ175" s="229" t="s">
        <v>386</v>
      </c>
      <c r="BA175" s="220" t="s">
        <v>386</v>
      </c>
      <c r="BB175" s="220" t="s">
        <v>386</v>
      </c>
      <c r="BC175" s="220" t="s">
        <v>386</v>
      </c>
      <c r="BD175" s="224" t="s">
        <v>386</v>
      </c>
      <c r="BE175" s="220">
        <v>871.5</v>
      </c>
      <c r="BF175" s="220">
        <v>538.4</v>
      </c>
      <c r="BG175" s="220">
        <v>652.5</v>
      </c>
      <c r="BH175" s="220">
        <v>903.42</v>
      </c>
      <c r="BI175" s="220">
        <v>801.17</v>
      </c>
      <c r="BJ175" s="362">
        <v>755.15</v>
      </c>
      <c r="BK175" s="363">
        <v>415.6</v>
      </c>
      <c r="BL175" s="363">
        <v>415.6</v>
      </c>
      <c r="BM175" s="363">
        <v>415.6</v>
      </c>
      <c r="BN175" s="364">
        <v>466.37</v>
      </c>
      <c r="BO175" s="363" t="s">
        <v>386</v>
      </c>
      <c r="BP175" s="363" t="s">
        <v>386</v>
      </c>
      <c r="BQ175" s="363" t="s">
        <v>386</v>
      </c>
      <c r="BR175" s="363" t="s">
        <v>386</v>
      </c>
      <c r="BS175" s="364" t="s">
        <v>386</v>
      </c>
      <c r="BT175" s="363" t="s">
        <v>386</v>
      </c>
      <c r="BU175" s="363" t="s">
        <v>386</v>
      </c>
      <c r="BV175" s="363" t="s">
        <v>386</v>
      </c>
      <c r="BW175" s="363" t="s">
        <v>386</v>
      </c>
      <c r="BX175" s="364" t="s">
        <v>386</v>
      </c>
      <c r="BY175" s="363" t="s">
        <v>386</v>
      </c>
      <c r="BZ175" s="363" t="s">
        <v>386</v>
      </c>
      <c r="CA175" s="363" t="s">
        <v>386</v>
      </c>
      <c r="CB175" s="363" t="s">
        <v>386</v>
      </c>
      <c r="CC175" s="363" t="s">
        <v>386</v>
      </c>
      <c r="CD175" s="362" t="s">
        <v>386</v>
      </c>
      <c r="CE175" s="363" t="s">
        <v>386</v>
      </c>
      <c r="CF175" s="363" t="s">
        <v>386</v>
      </c>
      <c r="CG175" s="363" t="s">
        <v>386</v>
      </c>
      <c r="CH175" s="364" t="s">
        <v>386</v>
      </c>
    </row>
    <row r="176" spans="1:86" x14ac:dyDescent="0.25">
      <c r="A176" s="223" t="s">
        <v>285</v>
      </c>
      <c r="B176" s="229">
        <v>28.71</v>
      </c>
      <c r="C176" s="220">
        <v>23.299999999999997</v>
      </c>
      <c r="D176" s="220">
        <v>23.119999999999997</v>
      </c>
      <c r="E176" s="220">
        <v>22.939999999999998</v>
      </c>
      <c r="F176" s="224">
        <v>25.41</v>
      </c>
      <c r="G176" s="220">
        <v>33.090000000000003</v>
      </c>
      <c r="H176" s="220">
        <v>33.659999999999997</v>
      </c>
      <c r="I176" s="220">
        <v>38.53</v>
      </c>
      <c r="J176" s="220">
        <v>34</v>
      </c>
      <c r="K176" s="220">
        <v>29.6</v>
      </c>
      <c r="L176" s="229">
        <v>164.04</v>
      </c>
      <c r="M176" s="220">
        <v>175.52</v>
      </c>
      <c r="N176" s="220">
        <v>169.29</v>
      </c>
      <c r="O176" s="220">
        <v>188.78</v>
      </c>
      <c r="P176" s="224">
        <v>162.86000000000001</v>
      </c>
      <c r="Q176" s="220">
        <v>33.36</v>
      </c>
      <c r="R176" s="220">
        <v>26.25</v>
      </c>
      <c r="S176" s="220">
        <v>25.16</v>
      </c>
      <c r="T176" s="220">
        <v>35.309999999999995</v>
      </c>
      <c r="U176" s="220">
        <v>37.5</v>
      </c>
      <c r="V176" s="229">
        <v>40.880000000000003</v>
      </c>
      <c r="W176" s="220">
        <v>18.399999999999999</v>
      </c>
      <c r="X176" s="220">
        <v>27.2</v>
      </c>
      <c r="Y176" s="220">
        <v>63</v>
      </c>
      <c r="Z176" s="224">
        <v>36</v>
      </c>
      <c r="AA176" s="220">
        <v>12</v>
      </c>
      <c r="AB176" s="220">
        <v>10.4</v>
      </c>
      <c r="AC176" s="220">
        <v>10.4</v>
      </c>
      <c r="AD176" s="220">
        <v>11.2</v>
      </c>
      <c r="AE176" s="220">
        <v>9.9700000000000006</v>
      </c>
      <c r="AF176" s="374" t="s">
        <v>386</v>
      </c>
      <c r="AG176" s="375" t="s">
        <v>386</v>
      </c>
      <c r="AH176" s="375" t="s">
        <v>386</v>
      </c>
      <c r="AI176" s="375" t="s">
        <v>386</v>
      </c>
      <c r="AJ176" s="376" t="s">
        <v>386</v>
      </c>
      <c r="AK176" s="220">
        <v>1694.01</v>
      </c>
      <c r="AL176" s="220">
        <v>700</v>
      </c>
      <c r="AM176" s="220">
        <v>662.4</v>
      </c>
      <c r="AN176" s="220">
        <v>961.02</v>
      </c>
      <c r="AO176" s="220">
        <v>794.88</v>
      </c>
      <c r="AP176" s="362" t="s">
        <v>386</v>
      </c>
      <c r="AQ176" s="363" t="s">
        <v>386</v>
      </c>
      <c r="AR176" s="363" t="s">
        <v>386</v>
      </c>
      <c r="AS176" s="363" t="s">
        <v>386</v>
      </c>
      <c r="AT176" s="364" t="s">
        <v>386</v>
      </c>
      <c r="AU176" s="220">
        <v>1373.55</v>
      </c>
      <c r="AV176" s="220">
        <v>1120.8</v>
      </c>
      <c r="AW176" s="220">
        <v>1123.2</v>
      </c>
      <c r="AX176" s="220">
        <v>1364.93</v>
      </c>
      <c r="AY176" s="220">
        <v>1477.73</v>
      </c>
      <c r="AZ176" s="229">
        <v>855.2</v>
      </c>
      <c r="BA176" s="220">
        <v>918.4</v>
      </c>
      <c r="BB176" s="220">
        <v>890.4</v>
      </c>
      <c r="BC176" s="220">
        <v>840.8</v>
      </c>
      <c r="BD176" s="224">
        <v>858.4</v>
      </c>
      <c r="BE176" s="220">
        <v>871.5</v>
      </c>
      <c r="BF176" s="220">
        <v>572.09</v>
      </c>
      <c r="BG176" s="220">
        <v>652.5</v>
      </c>
      <c r="BH176" s="220">
        <v>920.91</v>
      </c>
      <c r="BI176" s="220">
        <v>801.17</v>
      </c>
      <c r="BJ176" s="229">
        <v>752.54</v>
      </c>
      <c r="BK176" s="220">
        <v>444</v>
      </c>
      <c r="BL176" s="220">
        <v>444</v>
      </c>
      <c r="BM176" s="220">
        <v>444</v>
      </c>
      <c r="BN176" s="224">
        <v>416.8</v>
      </c>
      <c r="BO176" s="220" t="s">
        <v>386</v>
      </c>
      <c r="BP176" s="220" t="s">
        <v>386</v>
      </c>
      <c r="BQ176" s="220" t="s">
        <v>386</v>
      </c>
      <c r="BR176" s="220" t="s">
        <v>386</v>
      </c>
      <c r="BS176" s="224" t="s">
        <v>386</v>
      </c>
      <c r="BT176" s="220" t="s">
        <v>386</v>
      </c>
      <c r="BU176" s="220" t="s">
        <v>386</v>
      </c>
      <c r="BV176" s="220" t="s">
        <v>386</v>
      </c>
      <c r="BW176" s="220" t="s">
        <v>386</v>
      </c>
      <c r="BX176" s="224" t="s">
        <v>386</v>
      </c>
      <c r="BY176" s="220">
        <v>1819.81</v>
      </c>
      <c r="BZ176" s="220">
        <v>721.6</v>
      </c>
      <c r="CA176" s="220">
        <v>924.8</v>
      </c>
      <c r="CB176" s="220">
        <v>1251.7</v>
      </c>
      <c r="CC176" s="220">
        <v>903.39</v>
      </c>
      <c r="CD176" s="362">
        <v>1128.53</v>
      </c>
      <c r="CE176" s="363">
        <v>786.4</v>
      </c>
      <c r="CF176" s="363">
        <v>1027.2</v>
      </c>
      <c r="CG176" s="363">
        <v>1027.2</v>
      </c>
      <c r="CH176" s="364">
        <v>984.09</v>
      </c>
    </row>
    <row r="177" spans="1:86" x14ac:dyDescent="0.25">
      <c r="A177" s="223" t="s">
        <v>286</v>
      </c>
      <c r="B177" s="229">
        <v>56.870000000000005</v>
      </c>
      <c r="C177" s="220">
        <v>44.41</v>
      </c>
      <c r="D177" s="220">
        <v>37.4</v>
      </c>
      <c r="E177" s="220">
        <v>42.57</v>
      </c>
      <c r="F177" s="224">
        <v>43.260000000000005</v>
      </c>
      <c r="G177" s="363">
        <v>33.090000000000003</v>
      </c>
      <c r="H177" s="363">
        <v>33.659999999999997</v>
      </c>
      <c r="I177" s="363">
        <v>38.53</v>
      </c>
      <c r="J177" s="363">
        <v>34</v>
      </c>
      <c r="K177" s="363">
        <v>28.23</v>
      </c>
      <c r="L177" s="362">
        <v>164.04</v>
      </c>
      <c r="M177" s="363">
        <v>175.52</v>
      </c>
      <c r="N177" s="363">
        <v>169.29</v>
      </c>
      <c r="O177" s="363">
        <v>188.78</v>
      </c>
      <c r="P177" s="364">
        <v>162.86000000000001</v>
      </c>
      <c r="Q177" s="220">
        <v>65.8</v>
      </c>
      <c r="R177" s="220">
        <v>44.05</v>
      </c>
      <c r="S177" s="220">
        <v>41.839999999999996</v>
      </c>
      <c r="T177" s="220">
        <v>50.33</v>
      </c>
      <c r="U177" s="220">
        <v>43.43</v>
      </c>
      <c r="V177" s="229">
        <v>40.81</v>
      </c>
      <c r="W177" s="220">
        <v>33.6</v>
      </c>
      <c r="X177" s="220">
        <v>42.4</v>
      </c>
      <c r="Y177" s="220">
        <v>63</v>
      </c>
      <c r="Z177" s="224">
        <v>34.340000000000003</v>
      </c>
      <c r="AA177" s="363" t="s">
        <v>386</v>
      </c>
      <c r="AB177" s="363" t="s">
        <v>386</v>
      </c>
      <c r="AC177" s="363" t="s">
        <v>386</v>
      </c>
      <c r="AD177" s="363" t="s">
        <v>386</v>
      </c>
      <c r="AE177" s="363" t="s">
        <v>386</v>
      </c>
      <c r="AF177" s="374" t="s">
        <v>386</v>
      </c>
      <c r="AG177" s="375" t="s">
        <v>386</v>
      </c>
      <c r="AH177" s="375" t="s">
        <v>386</v>
      </c>
      <c r="AI177" s="375" t="s">
        <v>386</v>
      </c>
      <c r="AJ177" s="376" t="s">
        <v>386</v>
      </c>
      <c r="AK177" s="220">
        <v>1314.48</v>
      </c>
      <c r="AL177" s="220">
        <v>1038.3900000000001</v>
      </c>
      <c r="AM177" s="220">
        <v>786.72</v>
      </c>
      <c r="AN177" s="220">
        <v>778.84</v>
      </c>
      <c r="AO177" s="220">
        <v>814.56999999999994</v>
      </c>
      <c r="AP177" s="362" t="s">
        <v>386</v>
      </c>
      <c r="AQ177" s="363" t="s">
        <v>386</v>
      </c>
      <c r="AR177" s="363" t="s">
        <v>386</v>
      </c>
      <c r="AS177" s="363" t="s">
        <v>386</v>
      </c>
      <c r="AT177" s="364" t="s">
        <v>386</v>
      </c>
      <c r="AU177" s="220">
        <v>1979.98</v>
      </c>
      <c r="AV177" s="220">
        <v>1218.4000000000001</v>
      </c>
      <c r="AW177" s="220">
        <v>1216.8</v>
      </c>
      <c r="AX177" s="220">
        <v>1333.71</v>
      </c>
      <c r="AY177" s="220">
        <v>1216.8</v>
      </c>
      <c r="AZ177" s="229">
        <v>1418.32</v>
      </c>
      <c r="BA177" s="220">
        <v>716.8</v>
      </c>
      <c r="BB177" s="220">
        <v>743.2</v>
      </c>
      <c r="BC177" s="220">
        <v>1162.6500000000001</v>
      </c>
      <c r="BD177" s="224">
        <v>810.99</v>
      </c>
      <c r="BE177" s="363" t="s">
        <v>386</v>
      </c>
      <c r="BF177" s="363" t="s">
        <v>386</v>
      </c>
      <c r="BG177" s="363" t="s">
        <v>386</v>
      </c>
      <c r="BH177" s="363" t="s">
        <v>386</v>
      </c>
      <c r="BI177" s="363" t="s">
        <v>386</v>
      </c>
      <c r="BJ177" s="229">
        <v>687.38</v>
      </c>
      <c r="BK177" s="220">
        <v>465.99</v>
      </c>
      <c r="BL177" s="220">
        <v>459.2</v>
      </c>
      <c r="BM177" s="220">
        <v>503.71</v>
      </c>
      <c r="BN177" s="224">
        <v>475.2</v>
      </c>
      <c r="BO177" s="220" t="s">
        <v>386</v>
      </c>
      <c r="BP177" s="220" t="s">
        <v>386</v>
      </c>
      <c r="BQ177" s="220" t="s">
        <v>386</v>
      </c>
      <c r="BR177" s="220" t="s">
        <v>386</v>
      </c>
      <c r="BS177" s="224" t="s">
        <v>386</v>
      </c>
      <c r="BT177" s="220" t="s">
        <v>386</v>
      </c>
      <c r="BU177" s="220" t="s">
        <v>386</v>
      </c>
      <c r="BV177" s="220" t="s">
        <v>386</v>
      </c>
      <c r="BW177" s="220" t="s">
        <v>386</v>
      </c>
      <c r="BX177" s="224" t="s">
        <v>386</v>
      </c>
      <c r="BY177" s="220">
        <v>1638.68</v>
      </c>
      <c r="BZ177" s="220">
        <v>995.2</v>
      </c>
      <c r="CA177" s="220">
        <v>1134.4000000000001</v>
      </c>
      <c r="CB177" s="220">
        <v>1101.5999999999999</v>
      </c>
      <c r="CC177" s="220">
        <v>1116</v>
      </c>
      <c r="CD177" s="362" t="s">
        <v>386</v>
      </c>
      <c r="CE177" s="363" t="s">
        <v>386</v>
      </c>
      <c r="CF177" s="363" t="s">
        <v>386</v>
      </c>
      <c r="CG177" s="363" t="s">
        <v>386</v>
      </c>
      <c r="CH177" s="364" t="s">
        <v>386</v>
      </c>
    </row>
    <row r="178" spans="1:86" x14ac:dyDescent="0.25">
      <c r="A178" s="223" t="s">
        <v>287</v>
      </c>
      <c r="B178" s="229">
        <v>16.600000000000001</v>
      </c>
      <c r="C178" s="220">
        <v>21.3</v>
      </c>
      <c r="D178" s="220">
        <v>34.03</v>
      </c>
      <c r="E178" s="220">
        <v>42.66</v>
      </c>
      <c r="F178" s="224">
        <v>33.14</v>
      </c>
      <c r="G178" s="363" t="s">
        <v>386</v>
      </c>
      <c r="H178" s="363" t="s">
        <v>386</v>
      </c>
      <c r="I178" s="363" t="s">
        <v>386</v>
      </c>
      <c r="J178" s="363" t="s">
        <v>386</v>
      </c>
      <c r="K178" s="363" t="s">
        <v>386</v>
      </c>
      <c r="L178" s="362">
        <v>131.71</v>
      </c>
      <c r="M178" s="363">
        <v>171.53</v>
      </c>
      <c r="N178" s="363">
        <v>174.24</v>
      </c>
      <c r="O178" s="363">
        <v>180.96</v>
      </c>
      <c r="P178" s="364">
        <v>125.55</v>
      </c>
      <c r="Q178" s="220">
        <v>46.25</v>
      </c>
      <c r="R178" s="220">
        <v>13.6</v>
      </c>
      <c r="S178" s="220">
        <v>32.69</v>
      </c>
      <c r="T178" s="220">
        <v>53.24</v>
      </c>
      <c r="U178" s="220">
        <v>104.85</v>
      </c>
      <c r="V178" s="229">
        <v>62.8</v>
      </c>
      <c r="W178" s="220">
        <v>23.2</v>
      </c>
      <c r="X178" s="220">
        <v>26.66</v>
      </c>
      <c r="Y178" s="220">
        <v>63</v>
      </c>
      <c r="Z178" s="224">
        <v>34.340000000000003</v>
      </c>
      <c r="AA178" s="363" t="s">
        <v>386</v>
      </c>
      <c r="AB178" s="363" t="s">
        <v>386</v>
      </c>
      <c r="AC178" s="363" t="s">
        <v>386</v>
      </c>
      <c r="AD178" s="363" t="s">
        <v>386</v>
      </c>
      <c r="AE178" s="363" t="s">
        <v>386</v>
      </c>
      <c r="AF178" s="374" t="s">
        <v>386</v>
      </c>
      <c r="AG178" s="375" t="s">
        <v>386</v>
      </c>
      <c r="AH178" s="375" t="s">
        <v>386</v>
      </c>
      <c r="AI178" s="375" t="s">
        <v>386</v>
      </c>
      <c r="AJ178" s="376" t="s">
        <v>386</v>
      </c>
      <c r="AK178" s="363" t="s">
        <v>386</v>
      </c>
      <c r="AL178" s="363" t="s">
        <v>386</v>
      </c>
      <c r="AM178" s="363" t="s">
        <v>386</v>
      </c>
      <c r="AN178" s="363" t="s">
        <v>386</v>
      </c>
      <c r="AO178" s="363" t="s">
        <v>386</v>
      </c>
      <c r="AP178" s="362" t="s">
        <v>386</v>
      </c>
      <c r="AQ178" s="363" t="s">
        <v>386</v>
      </c>
      <c r="AR178" s="363" t="s">
        <v>386</v>
      </c>
      <c r="AS178" s="363" t="s">
        <v>386</v>
      </c>
      <c r="AT178" s="364" t="s">
        <v>386</v>
      </c>
      <c r="AU178" s="363" t="s">
        <v>386</v>
      </c>
      <c r="AV178" s="363" t="s">
        <v>386</v>
      </c>
      <c r="AW178" s="363" t="s">
        <v>386</v>
      </c>
      <c r="AX178" s="363" t="s">
        <v>386</v>
      </c>
      <c r="AY178" s="363" t="s">
        <v>386</v>
      </c>
      <c r="AZ178" s="362" t="s">
        <v>386</v>
      </c>
      <c r="BA178" s="363" t="s">
        <v>386</v>
      </c>
      <c r="BB178" s="363" t="s">
        <v>386</v>
      </c>
      <c r="BC178" s="363" t="s">
        <v>386</v>
      </c>
      <c r="BD178" s="364" t="s">
        <v>386</v>
      </c>
      <c r="BE178" s="363" t="s">
        <v>386</v>
      </c>
      <c r="BF178" s="363" t="s">
        <v>386</v>
      </c>
      <c r="BG178" s="363" t="s">
        <v>386</v>
      </c>
      <c r="BH178" s="363" t="s">
        <v>386</v>
      </c>
      <c r="BI178" s="363" t="s">
        <v>386</v>
      </c>
      <c r="BJ178" s="229" t="s">
        <v>386</v>
      </c>
      <c r="BK178" s="220" t="s">
        <v>386</v>
      </c>
      <c r="BL178" s="220" t="s">
        <v>386</v>
      </c>
      <c r="BM178" s="220" t="s">
        <v>386</v>
      </c>
      <c r="BN178" s="224" t="s">
        <v>386</v>
      </c>
      <c r="BO178" s="220" t="s">
        <v>386</v>
      </c>
      <c r="BP178" s="220" t="s">
        <v>386</v>
      </c>
      <c r="BQ178" s="220" t="s">
        <v>386</v>
      </c>
      <c r="BR178" s="220" t="s">
        <v>386</v>
      </c>
      <c r="BS178" s="224" t="s">
        <v>386</v>
      </c>
      <c r="BT178" s="363" t="s">
        <v>386</v>
      </c>
      <c r="BU178" s="363" t="s">
        <v>386</v>
      </c>
      <c r="BV178" s="363" t="s">
        <v>386</v>
      </c>
      <c r="BW178" s="363" t="s">
        <v>386</v>
      </c>
      <c r="BX178" s="364" t="s">
        <v>386</v>
      </c>
      <c r="BY178" s="363" t="s">
        <v>386</v>
      </c>
      <c r="BZ178" s="363" t="s">
        <v>386</v>
      </c>
      <c r="CA178" s="363" t="s">
        <v>386</v>
      </c>
      <c r="CB178" s="363" t="s">
        <v>386</v>
      </c>
      <c r="CC178" s="363" t="s">
        <v>386</v>
      </c>
      <c r="CD178" s="362" t="s">
        <v>386</v>
      </c>
      <c r="CE178" s="363" t="s">
        <v>386</v>
      </c>
      <c r="CF178" s="363" t="s">
        <v>386</v>
      </c>
      <c r="CG178" s="363" t="s">
        <v>386</v>
      </c>
      <c r="CH178" s="364" t="s">
        <v>386</v>
      </c>
    </row>
    <row r="179" spans="1:86" x14ac:dyDescent="0.25">
      <c r="A179" s="223" t="s">
        <v>288</v>
      </c>
      <c r="B179" s="229" t="s">
        <v>386</v>
      </c>
      <c r="C179" s="220" t="s">
        <v>386</v>
      </c>
      <c r="D179" s="220" t="s">
        <v>386</v>
      </c>
      <c r="E179" s="220" t="s">
        <v>386</v>
      </c>
      <c r="F179" s="224" t="s">
        <v>386</v>
      </c>
      <c r="G179" s="363" t="s">
        <v>386</v>
      </c>
      <c r="H179" s="363" t="s">
        <v>386</v>
      </c>
      <c r="I179" s="363" t="s">
        <v>386</v>
      </c>
      <c r="J179" s="363" t="s">
        <v>386</v>
      </c>
      <c r="K179" s="363" t="s">
        <v>386</v>
      </c>
      <c r="L179" s="362" t="s">
        <v>386</v>
      </c>
      <c r="M179" s="363" t="s">
        <v>386</v>
      </c>
      <c r="N179" s="363" t="s">
        <v>386</v>
      </c>
      <c r="O179" s="363" t="s">
        <v>386</v>
      </c>
      <c r="P179" s="364" t="s">
        <v>386</v>
      </c>
      <c r="Q179" s="220" t="s">
        <v>386</v>
      </c>
      <c r="R179" s="220" t="s">
        <v>386</v>
      </c>
      <c r="S179" s="220" t="s">
        <v>386</v>
      </c>
      <c r="T179" s="220" t="s">
        <v>386</v>
      </c>
      <c r="U179" s="220" t="s">
        <v>386</v>
      </c>
      <c r="V179" s="362" t="s">
        <v>386</v>
      </c>
      <c r="W179" s="363" t="s">
        <v>386</v>
      </c>
      <c r="X179" s="363" t="s">
        <v>386</v>
      </c>
      <c r="Y179" s="363" t="s">
        <v>386</v>
      </c>
      <c r="Z179" s="364" t="s">
        <v>386</v>
      </c>
      <c r="AA179" s="363" t="s">
        <v>386</v>
      </c>
      <c r="AB179" s="363" t="s">
        <v>386</v>
      </c>
      <c r="AC179" s="363" t="s">
        <v>386</v>
      </c>
      <c r="AD179" s="363" t="s">
        <v>386</v>
      </c>
      <c r="AE179" s="363" t="s">
        <v>386</v>
      </c>
      <c r="AF179" s="374" t="s">
        <v>386</v>
      </c>
      <c r="AG179" s="375" t="s">
        <v>386</v>
      </c>
      <c r="AH179" s="375" t="s">
        <v>386</v>
      </c>
      <c r="AI179" s="375" t="s">
        <v>386</v>
      </c>
      <c r="AJ179" s="376" t="s">
        <v>386</v>
      </c>
      <c r="AK179" s="363" t="s">
        <v>386</v>
      </c>
      <c r="AL179" s="363" t="s">
        <v>386</v>
      </c>
      <c r="AM179" s="363" t="s">
        <v>386</v>
      </c>
      <c r="AN179" s="363" t="s">
        <v>386</v>
      </c>
      <c r="AO179" s="363" t="s">
        <v>386</v>
      </c>
      <c r="AP179" s="362" t="s">
        <v>386</v>
      </c>
      <c r="AQ179" s="363" t="s">
        <v>386</v>
      </c>
      <c r="AR179" s="363" t="s">
        <v>386</v>
      </c>
      <c r="AS179" s="363" t="s">
        <v>386</v>
      </c>
      <c r="AT179" s="364" t="s">
        <v>386</v>
      </c>
      <c r="AU179" s="363" t="s">
        <v>386</v>
      </c>
      <c r="AV179" s="363" t="s">
        <v>386</v>
      </c>
      <c r="AW179" s="363" t="s">
        <v>386</v>
      </c>
      <c r="AX179" s="363" t="s">
        <v>386</v>
      </c>
      <c r="AY179" s="363" t="s">
        <v>386</v>
      </c>
      <c r="AZ179" s="362" t="s">
        <v>386</v>
      </c>
      <c r="BA179" s="363" t="s">
        <v>386</v>
      </c>
      <c r="BB179" s="363" t="s">
        <v>386</v>
      </c>
      <c r="BC179" s="363" t="s">
        <v>386</v>
      </c>
      <c r="BD179" s="364" t="s">
        <v>386</v>
      </c>
      <c r="BE179" s="363" t="s">
        <v>386</v>
      </c>
      <c r="BF179" s="363" t="s">
        <v>386</v>
      </c>
      <c r="BG179" s="363" t="s">
        <v>386</v>
      </c>
      <c r="BH179" s="363" t="s">
        <v>386</v>
      </c>
      <c r="BI179" s="363" t="s">
        <v>386</v>
      </c>
      <c r="BJ179" s="362" t="s">
        <v>386</v>
      </c>
      <c r="BK179" s="363" t="s">
        <v>386</v>
      </c>
      <c r="BL179" s="363" t="s">
        <v>386</v>
      </c>
      <c r="BM179" s="363" t="s">
        <v>386</v>
      </c>
      <c r="BN179" s="364" t="s">
        <v>386</v>
      </c>
      <c r="BO179" s="363" t="s">
        <v>386</v>
      </c>
      <c r="BP179" s="363" t="s">
        <v>386</v>
      </c>
      <c r="BQ179" s="363" t="s">
        <v>386</v>
      </c>
      <c r="BR179" s="363" t="s">
        <v>386</v>
      </c>
      <c r="BS179" s="364" t="s">
        <v>386</v>
      </c>
      <c r="BT179" s="363" t="s">
        <v>386</v>
      </c>
      <c r="BU179" s="363" t="s">
        <v>386</v>
      </c>
      <c r="BV179" s="363" t="s">
        <v>386</v>
      </c>
      <c r="BW179" s="363" t="s">
        <v>386</v>
      </c>
      <c r="BX179" s="364" t="s">
        <v>386</v>
      </c>
      <c r="BY179" s="363" t="s">
        <v>386</v>
      </c>
      <c r="BZ179" s="363" t="s">
        <v>386</v>
      </c>
      <c r="CA179" s="363" t="s">
        <v>386</v>
      </c>
      <c r="CB179" s="363" t="s">
        <v>386</v>
      </c>
      <c r="CC179" s="363" t="s">
        <v>386</v>
      </c>
      <c r="CD179" s="362" t="s">
        <v>386</v>
      </c>
      <c r="CE179" s="363" t="s">
        <v>386</v>
      </c>
      <c r="CF179" s="363" t="s">
        <v>386</v>
      </c>
      <c r="CG179" s="363" t="s">
        <v>386</v>
      </c>
      <c r="CH179" s="364" t="s">
        <v>386</v>
      </c>
    </row>
    <row r="180" spans="1:86" x14ac:dyDescent="0.25">
      <c r="A180" s="223" t="s">
        <v>289</v>
      </c>
      <c r="B180" s="229">
        <v>30.720000000000002</v>
      </c>
      <c r="C180" s="220">
        <v>22.9</v>
      </c>
      <c r="D180" s="220">
        <v>28.549999999999997</v>
      </c>
      <c r="E180" s="220">
        <v>43.459999999999994</v>
      </c>
      <c r="F180" s="224">
        <v>44.45</v>
      </c>
      <c r="G180" s="363" t="s">
        <v>386</v>
      </c>
      <c r="H180" s="363" t="s">
        <v>386</v>
      </c>
      <c r="I180" s="363" t="s">
        <v>386</v>
      </c>
      <c r="J180" s="363" t="s">
        <v>386</v>
      </c>
      <c r="K180" s="363" t="s">
        <v>386</v>
      </c>
      <c r="L180" s="229" t="s">
        <v>386</v>
      </c>
      <c r="M180" s="220" t="s">
        <v>386</v>
      </c>
      <c r="N180" s="220" t="s">
        <v>386</v>
      </c>
      <c r="O180" s="220" t="s">
        <v>386</v>
      </c>
      <c r="P180" s="224" t="s">
        <v>386</v>
      </c>
      <c r="Q180" s="220">
        <v>23.2</v>
      </c>
      <c r="R180" s="220">
        <v>21.6</v>
      </c>
      <c r="S180" s="220">
        <v>37.4</v>
      </c>
      <c r="T180" s="220">
        <v>42.75</v>
      </c>
      <c r="U180" s="220">
        <v>36.03</v>
      </c>
      <c r="V180" s="229">
        <v>32.67</v>
      </c>
      <c r="W180" s="220">
        <v>29.6</v>
      </c>
      <c r="X180" s="220">
        <v>29.6</v>
      </c>
      <c r="Y180" s="220">
        <v>63</v>
      </c>
      <c r="Z180" s="224">
        <v>54.4</v>
      </c>
      <c r="AA180" s="363" t="s">
        <v>386</v>
      </c>
      <c r="AB180" s="363" t="s">
        <v>386</v>
      </c>
      <c r="AC180" s="363" t="s">
        <v>386</v>
      </c>
      <c r="AD180" s="363" t="s">
        <v>386</v>
      </c>
      <c r="AE180" s="363" t="s">
        <v>386</v>
      </c>
      <c r="AF180" s="383">
        <v>31</v>
      </c>
      <c r="AG180" s="384">
        <v>28</v>
      </c>
      <c r="AH180" s="384">
        <v>26</v>
      </c>
      <c r="AI180" s="384">
        <v>29.21</v>
      </c>
      <c r="AJ180" s="385">
        <v>28</v>
      </c>
      <c r="AK180" s="363">
        <v>1757.9</v>
      </c>
      <c r="AL180" s="363">
        <v>927.6</v>
      </c>
      <c r="AM180" s="363">
        <v>1077.8900000000001</v>
      </c>
      <c r="AN180" s="363">
        <v>1072.0999999999999</v>
      </c>
      <c r="AO180" s="363">
        <v>1077.8900000000001</v>
      </c>
      <c r="AP180" s="362" t="s">
        <v>386</v>
      </c>
      <c r="AQ180" s="363" t="s">
        <v>386</v>
      </c>
      <c r="AR180" s="363" t="s">
        <v>386</v>
      </c>
      <c r="AS180" s="363" t="s">
        <v>386</v>
      </c>
      <c r="AT180" s="364" t="s">
        <v>386</v>
      </c>
      <c r="AU180" s="220">
        <v>2127.27</v>
      </c>
      <c r="AV180" s="220">
        <v>1036.8</v>
      </c>
      <c r="AW180" s="220">
        <v>1138.9000000000001</v>
      </c>
      <c r="AX180" s="220">
        <v>2411.09</v>
      </c>
      <c r="AY180" s="220">
        <v>1885.19</v>
      </c>
      <c r="AZ180" s="229">
        <v>1547.31</v>
      </c>
      <c r="BA180" s="220">
        <v>840</v>
      </c>
      <c r="BB180" s="220">
        <v>950.93</v>
      </c>
      <c r="BC180" s="220">
        <v>1404.76</v>
      </c>
      <c r="BD180" s="224">
        <v>1227.9000000000001</v>
      </c>
      <c r="BE180" s="363">
        <v>813.87</v>
      </c>
      <c r="BF180" s="363">
        <v>599.20000000000005</v>
      </c>
      <c r="BG180" s="363">
        <v>1023.53</v>
      </c>
      <c r="BH180" s="363">
        <v>936.84</v>
      </c>
      <c r="BI180" s="363">
        <v>992.95</v>
      </c>
      <c r="BJ180" s="229" t="s">
        <v>386</v>
      </c>
      <c r="BK180" s="220" t="s">
        <v>386</v>
      </c>
      <c r="BL180" s="220" t="s">
        <v>386</v>
      </c>
      <c r="BM180" s="220" t="s">
        <v>386</v>
      </c>
      <c r="BN180" s="224" t="s">
        <v>386</v>
      </c>
      <c r="BO180" s="220" t="s">
        <v>386</v>
      </c>
      <c r="BP180" s="220" t="s">
        <v>386</v>
      </c>
      <c r="BQ180" s="220" t="s">
        <v>386</v>
      </c>
      <c r="BR180" s="220" t="s">
        <v>386</v>
      </c>
      <c r="BS180" s="224" t="s">
        <v>386</v>
      </c>
      <c r="BT180" s="220" t="s">
        <v>386</v>
      </c>
      <c r="BU180" s="220" t="s">
        <v>386</v>
      </c>
      <c r="BV180" s="220" t="s">
        <v>386</v>
      </c>
      <c r="BW180" s="220" t="s">
        <v>386</v>
      </c>
      <c r="BX180" s="224" t="s">
        <v>386</v>
      </c>
      <c r="BY180" s="220">
        <v>1666.14</v>
      </c>
      <c r="BZ180" s="220">
        <v>860.8</v>
      </c>
      <c r="CA180" s="220">
        <v>905.6</v>
      </c>
      <c r="CB180" s="220">
        <v>1745.62</v>
      </c>
      <c r="CC180" s="220">
        <v>1456.99</v>
      </c>
      <c r="CD180" s="362" t="s">
        <v>386</v>
      </c>
      <c r="CE180" s="363" t="s">
        <v>386</v>
      </c>
      <c r="CF180" s="363" t="s">
        <v>386</v>
      </c>
      <c r="CG180" s="363" t="s">
        <v>386</v>
      </c>
      <c r="CH180" s="364" t="s">
        <v>386</v>
      </c>
    </row>
    <row r="181" spans="1:86" x14ac:dyDescent="0.25">
      <c r="A181" s="223" t="s">
        <v>290</v>
      </c>
      <c r="B181" s="229">
        <v>91.89</v>
      </c>
      <c r="C181" s="220">
        <v>46.72</v>
      </c>
      <c r="D181" s="220">
        <v>66.45</v>
      </c>
      <c r="E181" s="220">
        <v>60.04</v>
      </c>
      <c r="F181" s="224">
        <v>92.31</v>
      </c>
      <c r="G181" s="363">
        <v>33.090000000000003</v>
      </c>
      <c r="H181" s="363">
        <v>33.659999999999997</v>
      </c>
      <c r="I181" s="363">
        <v>38.53</v>
      </c>
      <c r="J181" s="363">
        <v>34</v>
      </c>
      <c r="K181" s="363">
        <v>28.23</v>
      </c>
      <c r="L181" s="362">
        <v>164.04</v>
      </c>
      <c r="M181" s="363">
        <v>175.52</v>
      </c>
      <c r="N181" s="363">
        <v>169.29</v>
      </c>
      <c r="O181" s="363">
        <v>188.78</v>
      </c>
      <c r="P181" s="364">
        <v>162.86000000000001</v>
      </c>
      <c r="Q181" s="220">
        <v>99.57</v>
      </c>
      <c r="R181" s="220">
        <v>76</v>
      </c>
      <c r="S181" s="220">
        <v>73.41</v>
      </c>
      <c r="T181" s="220">
        <v>54.71</v>
      </c>
      <c r="U181" s="220">
        <v>66.48</v>
      </c>
      <c r="V181" s="229">
        <v>49.6</v>
      </c>
      <c r="W181" s="220">
        <v>49.6</v>
      </c>
      <c r="X181" s="220">
        <v>85</v>
      </c>
      <c r="Y181" s="220">
        <v>66.7</v>
      </c>
      <c r="Z181" s="224">
        <v>49.6</v>
      </c>
      <c r="AA181" s="363" t="s">
        <v>386</v>
      </c>
      <c r="AB181" s="363" t="s">
        <v>386</v>
      </c>
      <c r="AC181" s="363" t="s">
        <v>386</v>
      </c>
      <c r="AD181" s="363" t="s">
        <v>386</v>
      </c>
      <c r="AE181" s="363" t="s">
        <v>386</v>
      </c>
      <c r="AF181" s="383" t="s">
        <v>386</v>
      </c>
      <c r="AG181" s="384" t="s">
        <v>386</v>
      </c>
      <c r="AH181" s="384" t="s">
        <v>386</v>
      </c>
      <c r="AI181" s="384" t="s">
        <v>386</v>
      </c>
      <c r="AJ181" s="385" t="s">
        <v>386</v>
      </c>
      <c r="AK181" s="363" t="s">
        <v>386</v>
      </c>
      <c r="AL181" s="363" t="s">
        <v>386</v>
      </c>
      <c r="AM181" s="363" t="s">
        <v>386</v>
      </c>
      <c r="AN181" s="363" t="s">
        <v>386</v>
      </c>
      <c r="AO181" s="363" t="s">
        <v>386</v>
      </c>
      <c r="AP181" s="362" t="s">
        <v>386</v>
      </c>
      <c r="AQ181" s="363" t="s">
        <v>386</v>
      </c>
      <c r="AR181" s="363" t="s">
        <v>386</v>
      </c>
      <c r="AS181" s="363" t="s">
        <v>386</v>
      </c>
      <c r="AT181" s="364" t="s">
        <v>386</v>
      </c>
      <c r="AU181" s="363" t="s">
        <v>386</v>
      </c>
      <c r="AV181" s="363" t="s">
        <v>386</v>
      </c>
      <c r="AW181" s="363" t="s">
        <v>386</v>
      </c>
      <c r="AX181" s="363" t="s">
        <v>386</v>
      </c>
      <c r="AY181" s="363" t="s">
        <v>386</v>
      </c>
      <c r="AZ181" s="362" t="s">
        <v>386</v>
      </c>
      <c r="BA181" s="363" t="s">
        <v>386</v>
      </c>
      <c r="BB181" s="363" t="s">
        <v>386</v>
      </c>
      <c r="BC181" s="363" t="s">
        <v>386</v>
      </c>
      <c r="BD181" s="364" t="s">
        <v>386</v>
      </c>
      <c r="BE181" s="363" t="s">
        <v>386</v>
      </c>
      <c r="BF181" s="363" t="s">
        <v>386</v>
      </c>
      <c r="BG181" s="363" t="s">
        <v>386</v>
      </c>
      <c r="BH181" s="363" t="s">
        <v>386</v>
      </c>
      <c r="BI181" s="363" t="s">
        <v>386</v>
      </c>
      <c r="BJ181" s="229" t="s">
        <v>386</v>
      </c>
      <c r="BK181" s="220" t="s">
        <v>386</v>
      </c>
      <c r="BL181" s="220" t="s">
        <v>386</v>
      </c>
      <c r="BM181" s="220" t="s">
        <v>386</v>
      </c>
      <c r="BN181" s="224" t="s">
        <v>386</v>
      </c>
      <c r="BO181" s="220" t="s">
        <v>386</v>
      </c>
      <c r="BP181" s="220" t="s">
        <v>386</v>
      </c>
      <c r="BQ181" s="220" t="s">
        <v>386</v>
      </c>
      <c r="BR181" s="220" t="s">
        <v>386</v>
      </c>
      <c r="BS181" s="224" t="s">
        <v>386</v>
      </c>
      <c r="BT181" s="363" t="s">
        <v>386</v>
      </c>
      <c r="BU181" s="363" t="s">
        <v>386</v>
      </c>
      <c r="BV181" s="363" t="s">
        <v>386</v>
      </c>
      <c r="BW181" s="363" t="s">
        <v>386</v>
      </c>
      <c r="BX181" s="364" t="s">
        <v>386</v>
      </c>
      <c r="BY181" s="363" t="s">
        <v>386</v>
      </c>
      <c r="BZ181" s="363" t="s">
        <v>386</v>
      </c>
      <c r="CA181" s="363" t="s">
        <v>386</v>
      </c>
      <c r="CB181" s="363" t="s">
        <v>386</v>
      </c>
      <c r="CC181" s="363" t="s">
        <v>386</v>
      </c>
      <c r="CD181" s="362" t="s">
        <v>386</v>
      </c>
      <c r="CE181" s="363" t="s">
        <v>386</v>
      </c>
      <c r="CF181" s="363" t="s">
        <v>386</v>
      </c>
      <c r="CG181" s="363" t="s">
        <v>386</v>
      </c>
      <c r="CH181" s="364" t="s">
        <v>386</v>
      </c>
    </row>
    <row r="182" spans="1:86" x14ac:dyDescent="0.25">
      <c r="A182" s="223" t="s">
        <v>291</v>
      </c>
      <c r="B182" s="229">
        <v>34.78</v>
      </c>
      <c r="C182" s="220">
        <v>24.3</v>
      </c>
      <c r="D182" s="220">
        <v>27.02</v>
      </c>
      <c r="E182" s="220">
        <v>34.559999999999995</v>
      </c>
      <c r="F182" s="224">
        <v>32.409999999999997</v>
      </c>
      <c r="G182" s="220" t="s">
        <v>386</v>
      </c>
      <c r="H182" s="220" t="s">
        <v>386</v>
      </c>
      <c r="I182" s="220" t="s">
        <v>386</v>
      </c>
      <c r="J182" s="220" t="s">
        <v>386</v>
      </c>
      <c r="K182" s="220" t="s">
        <v>386</v>
      </c>
      <c r="L182" s="229">
        <v>66</v>
      </c>
      <c r="M182" s="220">
        <v>93.04</v>
      </c>
      <c r="N182" s="220">
        <v>138.25</v>
      </c>
      <c r="O182" s="220">
        <v>69</v>
      </c>
      <c r="P182" s="224">
        <v>119.02</v>
      </c>
      <c r="Q182" s="220">
        <v>62.64</v>
      </c>
      <c r="R182" s="220">
        <v>32.35</v>
      </c>
      <c r="S182" s="220">
        <v>38.379999999999995</v>
      </c>
      <c r="T182" s="220">
        <v>54.53</v>
      </c>
      <c r="U182" s="220">
        <v>42.480000000000004</v>
      </c>
      <c r="V182" s="229" t="s">
        <v>386</v>
      </c>
      <c r="W182" s="220" t="s">
        <v>386</v>
      </c>
      <c r="X182" s="220" t="s">
        <v>386</v>
      </c>
      <c r="Y182" s="220" t="s">
        <v>386</v>
      </c>
      <c r="Z182" s="224" t="s">
        <v>386</v>
      </c>
      <c r="AA182" s="220">
        <v>19.38</v>
      </c>
      <c r="AB182" s="220">
        <v>12.8</v>
      </c>
      <c r="AC182" s="220">
        <v>19.5</v>
      </c>
      <c r="AD182" s="220">
        <v>12.8</v>
      </c>
      <c r="AE182" s="220">
        <v>12</v>
      </c>
      <c r="AF182" s="383">
        <v>31</v>
      </c>
      <c r="AG182" s="384">
        <v>28</v>
      </c>
      <c r="AH182" s="384">
        <v>26</v>
      </c>
      <c r="AI182" s="384">
        <v>32</v>
      </c>
      <c r="AJ182" s="385">
        <v>28</v>
      </c>
      <c r="AK182" s="220">
        <v>1844.52</v>
      </c>
      <c r="AL182" s="220">
        <v>856.4</v>
      </c>
      <c r="AM182" s="220">
        <v>1243.25</v>
      </c>
      <c r="AN182" s="220">
        <v>1171</v>
      </c>
      <c r="AO182" s="220">
        <v>1108.73</v>
      </c>
      <c r="AP182" s="229">
        <v>1407.73</v>
      </c>
      <c r="AQ182" s="220">
        <v>965.57</v>
      </c>
      <c r="AR182" s="220">
        <v>1721.78</v>
      </c>
      <c r="AS182" s="220">
        <v>1721.78</v>
      </c>
      <c r="AT182" s="224">
        <v>1675.37</v>
      </c>
      <c r="AU182" s="220">
        <v>1787.3</v>
      </c>
      <c r="AV182" s="220">
        <v>1106.4000000000001</v>
      </c>
      <c r="AW182" s="220">
        <v>2007.53</v>
      </c>
      <c r="AX182" s="220">
        <v>2646.76</v>
      </c>
      <c r="AY182" s="220">
        <v>2227.9699999999998</v>
      </c>
      <c r="AZ182" s="229">
        <v>1738.32</v>
      </c>
      <c r="BA182" s="220">
        <v>642.4</v>
      </c>
      <c r="BB182" s="220">
        <v>1056.23</v>
      </c>
      <c r="BC182" s="220">
        <v>1560.84</v>
      </c>
      <c r="BD182" s="224">
        <v>1463.11</v>
      </c>
      <c r="BE182" s="220">
        <v>890.72</v>
      </c>
      <c r="BF182" s="220">
        <v>754.4</v>
      </c>
      <c r="BG182" s="220">
        <v>1033.4000000000001</v>
      </c>
      <c r="BH182" s="220">
        <v>1122.92</v>
      </c>
      <c r="BI182" s="220">
        <v>965.38</v>
      </c>
      <c r="BJ182" s="229">
        <v>783.32</v>
      </c>
      <c r="BK182" s="220">
        <v>396.8</v>
      </c>
      <c r="BL182" s="220">
        <v>409.72</v>
      </c>
      <c r="BM182" s="220">
        <v>427.2</v>
      </c>
      <c r="BN182" s="224">
        <v>427.2</v>
      </c>
      <c r="BO182" s="220" t="s">
        <v>386</v>
      </c>
      <c r="BP182" s="220" t="s">
        <v>386</v>
      </c>
      <c r="BQ182" s="220" t="s">
        <v>386</v>
      </c>
      <c r="BR182" s="220" t="s">
        <v>386</v>
      </c>
      <c r="BS182" s="224" t="s">
        <v>386</v>
      </c>
      <c r="BT182" s="220" t="s">
        <v>386</v>
      </c>
      <c r="BU182" s="220" t="s">
        <v>386</v>
      </c>
      <c r="BV182" s="220" t="s">
        <v>386</v>
      </c>
      <c r="BW182" s="220" t="s">
        <v>386</v>
      </c>
      <c r="BX182" s="224" t="s">
        <v>386</v>
      </c>
      <c r="BY182" s="220">
        <v>1700.59</v>
      </c>
      <c r="BZ182" s="220">
        <v>918.4</v>
      </c>
      <c r="CA182" s="220">
        <v>1794.52</v>
      </c>
      <c r="CB182" s="220">
        <v>1562.54</v>
      </c>
      <c r="CC182" s="220">
        <v>1311.6</v>
      </c>
      <c r="CD182" s="362" t="s">
        <v>386</v>
      </c>
      <c r="CE182" s="363" t="s">
        <v>386</v>
      </c>
      <c r="CF182" s="363" t="s">
        <v>386</v>
      </c>
      <c r="CG182" s="363" t="s">
        <v>386</v>
      </c>
      <c r="CH182" s="364" t="s">
        <v>386</v>
      </c>
    </row>
    <row r="183" spans="1:86" x14ac:dyDescent="0.25">
      <c r="A183" s="223" t="s">
        <v>292</v>
      </c>
      <c r="B183" s="229">
        <v>39.580000000000005</v>
      </c>
      <c r="C183" s="220">
        <v>24.2</v>
      </c>
      <c r="D183" s="220">
        <v>24</v>
      </c>
      <c r="E183" s="220">
        <v>26.240000000000002</v>
      </c>
      <c r="F183" s="224">
        <v>23.599999999999998</v>
      </c>
      <c r="G183" s="220">
        <v>29.6</v>
      </c>
      <c r="H183" s="220">
        <v>29.6</v>
      </c>
      <c r="I183" s="220">
        <v>29.6</v>
      </c>
      <c r="J183" s="220">
        <v>34</v>
      </c>
      <c r="K183" s="220">
        <v>29.6</v>
      </c>
      <c r="L183" s="229">
        <v>107.2</v>
      </c>
      <c r="M183" s="220">
        <v>109.22</v>
      </c>
      <c r="N183" s="220">
        <v>110.59</v>
      </c>
      <c r="O183" s="220">
        <v>164.33</v>
      </c>
      <c r="P183" s="224">
        <v>145.91</v>
      </c>
      <c r="Q183" s="220">
        <v>50.65</v>
      </c>
      <c r="R183" s="220">
        <v>27.1</v>
      </c>
      <c r="S183" s="220">
        <v>37.380000000000003</v>
      </c>
      <c r="T183" s="220">
        <v>54.09</v>
      </c>
      <c r="U183" s="220">
        <v>31.32</v>
      </c>
      <c r="V183" s="229">
        <v>56</v>
      </c>
      <c r="W183" s="220">
        <v>32.799999999999997</v>
      </c>
      <c r="X183" s="220">
        <v>31.2</v>
      </c>
      <c r="Y183" s="220">
        <v>40.18</v>
      </c>
      <c r="Z183" s="224">
        <v>60.89</v>
      </c>
      <c r="AA183" s="220">
        <v>17.850000000000001</v>
      </c>
      <c r="AB183" s="220">
        <v>12</v>
      </c>
      <c r="AC183" s="220">
        <v>12</v>
      </c>
      <c r="AD183" s="220">
        <v>12</v>
      </c>
      <c r="AE183" s="220">
        <v>12</v>
      </c>
      <c r="AF183" s="229">
        <v>31</v>
      </c>
      <c r="AG183" s="220">
        <v>28</v>
      </c>
      <c r="AH183" s="220">
        <v>26</v>
      </c>
      <c r="AI183" s="220">
        <v>27</v>
      </c>
      <c r="AJ183" s="224">
        <v>26</v>
      </c>
      <c r="AK183" s="220">
        <v>1625.92</v>
      </c>
      <c r="AL183" s="220">
        <v>748</v>
      </c>
      <c r="AM183" s="220">
        <v>1007.88</v>
      </c>
      <c r="AN183" s="220">
        <v>955.85</v>
      </c>
      <c r="AO183" s="220">
        <v>798.4</v>
      </c>
      <c r="AP183" s="362" t="s">
        <v>386</v>
      </c>
      <c r="AQ183" s="363" t="s">
        <v>386</v>
      </c>
      <c r="AR183" s="363" t="s">
        <v>386</v>
      </c>
      <c r="AS183" s="363" t="s">
        <v>386</v>
      </c>
      <c r="AT183" s="364" t="s">
        <v>386</v>
      </c>
      <c r="AU183" s="220">
        <v>2391.35</v>
      </c>
      <c r="AV183" s="220">
        <v>1274.4000000000001</v>
      </c>
      <c r="AW183" s="220">
        <v>1786.44</v>
      </c>
      <c r="AX183" s="220">
        <v>1700.26</v>
      </c>
      <c r="AY183" s="220">
        <v>1505.49</v>
      </c>
      <c r="AZ183" s="229">
        <v>1565.95</v>
      </c>
      <c r="BA183" s="220">
        <v>987.2</v>
      </c>
      <c r="BB183" s="220">
        <v>920.8</v>
      </c>
      <c r="BC183" s="220">
        <v>926.4</v>
      </c>
      <c r="BD183" s="224">
        <v>914.4</v>
      </c>
      <c r="BE183" s="363">
        <v>1097.0999999999999</v>
      </c>
      <c r="BF183" s="363">
        <v>733.6</v>
      </c>
      <c r="BG183" s="363">
        <v>1132.1500000000001</v>
      </c>
      <c r="BH183" s="363">
        <v>1089.31</v>
      </c>
      <c r="BI183" s="363">
        <v>1034.92</v>
      </c>
      <c r="BJ183" s="229">
        <v>783.32</v>
      </c>
      <c r="BK183" s="220">
        <v>367.2</v>
      </c>
      <c r="BL183" s="220">
        <v>434.4</v>
      </c>
      <c r="BM183" s="220">
        <v>435.2</v>
      </c>
      <c r="BN183" s="224">
        <v>435.2</v>
      </c>
      <c r="BO183" s="220">
        <v>1435</v>
      </c>
      <c r="BP183" s="220">
        <v>1435</v>
      </c>
      <c r="BQ183" s="220">
        <v>838</v>
      </c>
      <c r="BR183" s="220">
        <v>838</v>
      </c>
      <c r="BS183" s="224">
        <v>838</v>
      </c>
      <c r="BT183" s="220" t="s">
        <v>386</v>
      </c>
      <c r="BU183" s="220" t="s">
        <v>386</v>
      </c>
      <c r="BV183" s="220" t="s">
        <v>386</v>
      </c>
      <c r="BW183" s="220" t="s">
        <v>386</v>
      </c>
      <c r="BX183" s="224" t="s">
        <v>386</v>
      </c>
      <c r="BY183" s="220">
        <v>1697.97</v>
      </c>
      <c r="BZ183" s="220">
        <v>861.6</v>
      </c>
      <c r="CA183" s="220">
        <v>1383.83</v>
      </c>
      <c r="CB183" s="220">
        <v>1550.56</v>
      </c>
      <c r="CC183" s="220">
        <v>1022.45</v>
      </c>
      <c r="CD183" s="229">
        <v>1755.87</v>
      </c>
      <c r="CE183" s="220">
        <v>1220</v>
      </c>
      <c r="CF183" s="220">
        <v>1048</v>
      </c>
      <c r="CG183" s="220">
        <v>1526.39</v>
      </c>
      <c r="CH183" s="224">
        <v>1479.37</v>
      </c>
    </row>
    <row r="184" spans="1:86" x14ac:dyDescent="0.25">
      <c r="A184" s="223" t="s">
        <v>293</v>
      </c>
      <c r="B184" s="229">
        <v>28.05</v>
      </c>
      <c r="C184" s="220">
        <v>21.3</v>
      </c>
      <c r="D184" s="220">
        <v>45.91</v>
      </c>
      <c r="E184" s="220">
        <v>57.54</v>
      </c>
      <c r="F184" s="224">
        <v>26.15</v>
      </c>
      <c r="G184" s="220">
        <v>33.090000000000003</v>
      </c>
      <c r="H184" s="220">
        <v>33.659999999999997</v>
      </c>
      <c r="I184" s="220">
        <v>38.53</v>
      </c>
      <c r="J184" s="220">
        <v>34</v>
      </c>
      <c r="K184" s="220">
        <v>29.6</v>
      </c>
      <c r="L184" s="229">
        <v>119.06</v>
      </c>
      <c r="M184" s="220">
        <v>184.71</v>
      </c>
      <c r="N184" s="220">
        <v>188.4</v>
      </c>
      <c r="O184" s="220">
        <v>183.07</v>
      </c>
      <c r="P184" s="224">
        <v>155.29000000000002</v>
      </c>
      <c r="Q184" s="220">
        <v>47.39</v>
      </c>
      <c r="R184" s="220">
        <v>28.3</v>
      </c>
      <c r="S184" s="220">
        <v>53.2</v>
      </c>
      <c r="T184" s="220">
        <v>54.019999999999996</v>
      </c>
      <c r="U184" s="220">
        <v>60.629999999999995</v>
      </c>
      <c r="V184" s="229">
        <v>62.8</v>
      </c>
      <c r="W184" s="220">
        <v>28.8</v>
      </c>
      <c r="X184" s="220">
        <v>28.8</v>
      </c>
      <c r="Y184" s="220">
        <v>63</v>
      </c>
      <c r="Z184" s="224">
        <v>34.340000000000003</v>
      </c>
      <c r="AA184" s="363">
        <v>15.55</v>
      </c>
      <c r="AB184" s="363">
        <v>9.6</v>
      </c>
      <c r="AC184" s="363">
        <v>9.6</v>
      </c>
      <c r="AD184" s="363">
        <v>9.6</v>
      </c>
      <c r="AE184" s="363">
        <v>9.6</v>
      </c>
      <c r="AF184" s="362">
        <v>31</v>
      </c>
      <c r="AG184" s="363">
        <v>28</v>
      </c>
      <c r="AH184" s="363">
        <v>26</v>
      </c>
      <c r="AI184" s="363">
        <v>33</v>
      </c>
      <c r="AJ184" s="364">
        <v>28</v>
      </c>
      <c r="AK184" s="363" t="s">
        <v>386</v>
      </c>
      <c r="AL184" s="363" t="s">
        <v>386</v>
      </c>
      <c r="AM184" s="363" t="s">
        <v>386</v>
      </c>
      <c r="AN184" s="363" t="s">
        <v>386</v>
      </c>
      <c r="AO184" s="363" t="s">
        <v>386</v>
      </c>
      <c r="AP184" s="362" t="s">
        <v>386</v>
      </c>
      <c r="AQ184" s="363" t="s">
        <v>386</v>
      </c>
      <c r="AR184" s="363" t="s">
        <v>386</v>
      </c>
      <c r="AS184" s="363" t="s">
        <v>386</v>
      </c>
      <c r="AT184" s="364" t="s">
        <v>386</v>
      </c>
      <c r="AU184" s="220">
        <v>2165.9</v>
      </c>
      <c r="AV184" s="220">
        <v>400</v>
      </c>
      <c r="AW184" s="220">
        <v>1138.9000000000001</v>
      </c>
      <c r="AX184" s="220">
        <v>1838.36</v>
      </c>
      <c r="AY184" s="220">
        <v>1683.45</v>
      </c>
      <c r="AZ184" s="229">
        <v>1586.43</v>
      </c>
      <c r="BA184" s="220">
        <v>437.6</v>
      </c>
      <c r="BB184" s="220">
        <v>772.93</v>
      </c>
      <c r="BC184" s="220">
        <v>1382.05</v>
      </c>
      <c r="BD184" s="224">
        <v>1000.83</v>
      </c>
      <c r="BE184" s="220">
        <v>804.93</v>
      </c>
      <c r="BF184" s="220">
        <v>599.20000000000005</v>
      </c>
      <c r="BG184" s="220">
        <v>599.20000000000005</v>
      </c>
      <c r="BH184" s="220">
        <v>842.67</v>
      </c>
      <c r="BI184" s="220">
        <v>801.17</v>
      </c>
      <c r="BJ184" s="229" t="s">
        <v>386</v>
      </c>
      <c r="BK184" s="220" t="s">
        <v>386</v>
      </c>
      <c r="BL184" s="220" t="s">
        <v>386</v>
      </c>
      <c r="BM184" s="220" t="s">
        <v>386</v>
      </c>
      <c r="BN184" s="224" t="s">
        <v>386</v>
      </c>
      <c r="BO184" s="220" t="s">
        <v>386</v>
      </c>
      <c r="BP184" s="220" t="s">
        <v>386</v>
      </c>
      <c r="BQ184" s="220" t="s">
        <v>386</v>
      </c>
      <c r="BR184" s="220" t="s">
        <v>386</v>
      </c>
      <c r="BS184" s="224" t="s">
        <v>386</v>
      </c>
      <c r="BT184" s="363" t="s">
        <v>386</v>
      </c>
      <c r="BU184" s="363" t="s">
        <v>386</v>
      </c>
      <c r="BV184" s="363" t="s">
        <v>386</v>
      </c>
      <c r="BW184" s="363" t="s">
        <v>386</v>
      </c>
      <c r="BX184" s="364" t="s">
        <v>386</v>
      </c>
      <c r="BY184" s="363" t="s">
        <v>386</v>
      </c>
      <c r="BZ184" s="363" t="s">
        <v>386</v>
      </c>
      <c r="CA184" s="363" t="s">
        <v>386</v>
      </c>
      <c r="CB184" s="363" t="s">
        <v>386</v>
      </c>
      <c r="CC184" s="363" t="s">
        <v>386</v>
      </c>
      <c r="CD184" s="362" t="s">
        <v>386</v>
      </c>
      <c r="CE184" s="363" t="s">
        <v>386</v>
      </c>
      <c r="CF184" s="363" t="s">
        <v>386</v>
      </c>
      <c r="CG184" s="363" t="s">
        <v>386</v>
      </c>
      <c r="CH184" s="364" t="s">
        <v>386</v>
      </c>
    </row>
    <row r="185" spans="1:86" x14ac:dyDescent="0.25">
      <c r="A185" s="223" t="s">
        <v>294</v>
      </c>
      <c r="B185" s="229" t="s">
        <v>386</v>
      </c>
      <c r="C185" s="220" t="s">
        <v>386</v>
      </c>
      <c r="D185" s="220" t="s">
        <v>386</v>
      </c>
      <c r="E185" s="220" t="s">
        <v>386</v>
      </c>
      <c r="F185" s="224" t="s">
        <v>386</v>
      </c>
      <c r="G185" s="363" t="s">
        <v>386</v>
      </c>
      <c r="H185" s="363" t="s">
        <v>386</v>
      </c>
      <c r="I185" s="363" t="s">
        <v>386</v>
      </c>
      <c r="J185" s="363" t="s">
        <v>386</v>
      </c>
      <c r="K185" s="363" t="s">
        <v>386</v>
      </c>
      <c r="L185" s="362" t="s">
        <v>386</v>
      </c>
      <c r="M185" s="363" t="s">
        <v>386</v>
      </c>
      <c r="N185" s="363" t="s">
        <v>386</v>
      </c>
      <c r="O185" s="363" t="s">
        <v>386</v>
      </c>
      <c r="P185" s="364" t="s">
        <v>386</v>
      </c>
      <c r="Q185" s="363" t="s">
        <v>386</v>
      </c>
      <c r="R185" s="363" t="s">
        <v>386</v>
      </c>
      <c r="S185" s="363" t="s">
        <v>386</v>
      </c>
      <c r="T185" s="363" t="s">
        <v>386</v>
      </c>
      <c r="U185" s="363" t="s">
        <v>386</v>
      </c>
      <c r="V185" s="362" t="s">
        <v>386</v>
      </c>
      <c r="W185" s="363" t="s">
        <v>386</v>
      </c>
      <c r="X185" s="363" t="s">
        <v>386</v>
      </c>
      <c r="Y185" s="363" t="s">
        <v>386</v>
      </c>
      <c r="Z185" s="364" t="s">
        <v>386</v>
      </c>
      <c r="AA185" s="363" t="s">
        <v>386</v>
      </c>
      <c r="AB185" s="363" t="s">
        <v>386</v>
      </c>
      <c r="AC185" s="363" t="s">
        <v>386</v>
      </c>
      <c r="AD185" s="363" t="s">
        <v>386</v>
      </c>
      <c r="AE185" s="363" t="s">
        <v>386</v>
      </c>
      <c r="AF185" s="374" t="s">
        <v>386</v>
      </c>
      <c r="AG185" s="375" t="s">
        <v>386</v>
      </c>
      <c r="AH185" s="375" t="s">
        <v>386</v>
      </c>
      <c r="AI185" s="375" t="s">
        <v>386</v>
      </c>
      <c r="AJ185" s="376" t="s">
        <v>386</v>
      </c>
      <c r="AK185" s="363" t="s">
        <v>386</v>
      </c>
      <c r="AL185" s="363" t="s">
        <v>386</v>
      </c>
      <c r="AM185" s="363" t="s">
        <v>386</v>
      </c>
      <c r="AN185" s="363" t="s">
        <v>386</v>
      </c>
      <c r="AO185" s="363" t="s">
        <v>386</v>
      </c>
      <c r="AP185" s="362" t="s">
        <v>386</v>
      </c>
      <c r="AQ185" s="363" t="s">
        <v>386</v>
      </c>
      <c r="AR185" s="363" t="s">
        <v>386</v>
      </c>
      <c r="AS185" s="363" t="s">
        <v>386</v>
      </c>
      <c r="AT185" s="364" t="s">
        <v>386</v>
      </c>
      <c r="AU185" s="363" t="s">
        <v>386</v>
      </c>
      <c r="AV185" s="363" t="s">
        <v>386</v>
      </c>
      <c r="AW185" s="363" t="s">
        <v>386</v>
      </c>
      <c r="AX185" s="363" t="s">
        <v>386</v>
      </c>
      <c r="AY185" s="363" t="s">
        <v>386</v>
      </c>
      <c r="AZ185" s="362" t="s">
        <v>386</v>
      </c>
      <c r="BA185" s="363" t="s">
        <v>386</v>
      </c>
      <c r="BB185" s="363" t="s">
        <v>386</v>
      </c>
      <c r="BC185" s="363" t="s">
        <v>386</v>
      </c>
      <c r="BD185" s="364" t="s">
        <v>386</v>
      </c>
      <c r="BE185" s="363" t="s">
        <v>386</v>
      </c>
      <c r="BF185" s="363" t="s">
        <v>386</v>
      </c>
      <c r="BG185" s="363" t="s">
        <v>386</v>
      </c>
      <c r="BH185" s="363" t="s">
        <v>386</v>
      </c>
      <c r="BI185" s="363" t="s">
        <v>386</v>
      </c>
      <c r="BJ185" s="362" t="s">
        <v>386</v>
      </c>
      <c r="BK185" s="363" t="s">
        <v>386</v>
      </c>
      <c r="BL185" s="363" t="s">
        <v>386</v>
      </c>
      <c r="BM185" s="363" t="s">
        <v>386</v>
      </c>
      <c r="BN185" s="364" t="s">
        <v>386</v>
      </c>
      <c r="BO185" s="363" t="s">
        <v>386</v>
      </c>
      <c r="BP185" s="363" t="s">
        <v>386</v>
      </c>
      <c r="BQ185" s="363" t="s">
        <v>386</v>
      </c>
      <c r="BR185" s="363" t="s">
        <v>386</v>
      </c>
      <c r="BS185" s="364" t="s">
        <v>386</v>
      </c>
      <c r="BT185" s="363" t="s">
        <v>386</v>
      </c>
      <c r="BU185" s="363" t="s">
        <v>386</v>
      </c>
      <c r="BV185" s="363" t="s">
        <v>386</v>
      </c>
      <c r="BW185" s="363" t="s">
        <v>386</v>
      </c>
      <c r="BX185" s="364" t="s">
        <v>386</v>
      </c>
      <c r="BY185" s="363" t="s">
        <v>386</v>
      </c>
      <c r="BZ185" s="363" t="s">
        <v>386</v>
      </c>
      <c r="CA185" s="363" t="s">
        <v>386</v>
      </c>
      <c r="CB185" s="363" t="s">
        <v>386</v>
      </c>
      <c r="CC185" s="363" t="s">
        <v>386</v>
      </c>
      <c r="CD185" s="362" t="s">
        <v>386</v>
      </c>
      <c r="CE185" s="363" t="s">
        <v>386</v>
      </c>
      <c r="CF185" s="363" t="s">
        <v>386</v>
      </c>
      <c r="CG185" s="363" t="s">
        <v>386</v>
      </c>
      <c r="CH185" s="364" t="s">
        <v>386</v>
      </c>
    </row>
    <row r="186" spans="1:86" x14ac:dyDescent="0.25">
      <c r="A186" s="223" t="s">
        <v>295</v>
      </c>
      <c r="B186" s="229">
        <v>34.970000000000006</v>
      </c>
      <c r="C186" s="220">
        <v>25.8</v>
      </c>
      <c r="D186" s="220">
        <v>30.41</v>
      </c>
      <c r="E186" s="220">
        <v>29.64</v>
      </c>
      <c r="F186" s="224">
        <v>26.799999999999997</v>
      </c>
      <c r="G186" s="363" t="s">
        <v>386</v>
      </c>
      <c r="H186" s="363" t="s">
        <v>386</v>
      </c>
      <c r="I186" s="363" t="s">
        <v>386</v>
      </c>
      <c r="J186" s="363" t="s">
        <v>386</v>
      </c>
      <c r="K186" s="363" t="s">
        <v>386</v>
      </c>
      <c r="L186" s="229">
        <v>78.650000000000006</v>
      </c>
      <c r="M186" s="220">
        <v>182.65</v>
      </c>
      <c r="N186" s="220">
        <v>158.69999999999999</v>
      </c>
      <c r="O186" s="220">
        <v>127.78</v>
      </c>
      <c r="P186" s="224">
        <v>170.38</v>
      </c>
      <c r="Q186" s="220">
        <v>50.53</v>
      </c>
      <c r="R186" s="220">
        <v>31</v>
      </c>
      <c r="S186" s="220">
        <v>37.299999999999997</v>
      </c>
      <c r="T186" s="220">
        <v>53.72</v>
      </c>
      <c r="U186" s="220">
        <v>37.68</v>
      </c>
      <c r="V186" s="229">
        <v>66.040000000000006</v>
      </c>
      <c r="W186" s="220">
        <v>28.8</v>
      </c>
      <c r="X186" s="220">
        <v>26.66</v>
      </c>
      <c r="Y186" s="220">
        <v>51.73</v>
      </c>
      <c r="Z186" s="224">
        <v>66.39</v>
      </c>
      <c r="AA186" s="220">
        <v>21.3</v>
      </c>
      <c r="AB186" s="220">
        <v>14.4</v>
      </c>
      <c r="AC186" s="220">
        <v>16.75</v>
      </c>
      <c r="AD186" s="220">
        <v>15.2</v>
      </c>
      <c r="AE186" s="220">
        <v>14.4</v>
      </c>
      <c r="AF186" s="374" t="s">
        <v>386</v>
      </c>
      <c r="AG186" s="375" t="s">
        <v>386</v>
      </c>
      <c r="AH186" s="375" t="s">
        <v>386</v>
      </c>
      <c r="AI186" s="375" t="s">
        <v>386</v>
      </c>
      <c r="AJ186" s="376" t="s">
        <v>386</v>
      </c>
      <c r="AK186" s="220">
        <v>1873.63</v>
      </c>
      <c r="AL186" s="220">
        <v>1046.4000000000001</v>
      </c>
      <c r="AM186" s="220">
        <v>1633.47</v>
      </c>
      <c r="AN186" s="220">
        <v>1451.07</v>
      </c>
      <c r="AO186" s="220">
        <v>1050.4000000000001</v>
      </c>
      <c r="AP186" s="362" t="s">
        <v>386</v>
      </c>
      <c r="AQ186" s="363" t="s">
        <v>386</v>
      </c>
      <c r="AR186" s="363" t="s">
        <v>386</v>
      </c>
      <c r="AS186" s="363" t="s">
        <v>386</v>
      </c>
      <c r="AT186" s="364" t="s">
        <v>386</v>
      </c>
      <c r="AU186" s="220">
        <v>2268.27</v>
      </c>
      <c r="AV186" s="220">
        <v>1558.4</v>
      </c>
      <c r="AW186" s="220">
        <v>2110.4699999999998</v>
      </c>
      <c r="AX186" s="220">
        <v>1790.23</v>
      </c>
      <c r="AY186" s="220">
        <v>1694.81</v>
      </c>
      <c r="AZ186" s="229">
        <v>1525.19</v>
      </c>
      <c r="BA186" s="220">
        <v>1095.2</v>
      </c>
      <c r="BB186" s="220">
        <v>1170.3399999999999</v>
      </c>
      <c r="BC186" s="220">
        <v>1153.31</v>
      </c>
      <c r="BD186" s="224">
        <v>1000</v>
      </c>
      <c r="BE186" s="220">
        <v>852.3</v>
      </c>
      <c r="BF186" s="220">
        <v>826.45</v>
      </c>
      <c r="BG186" s="220">
        <v>1230.9000000000001</v>
      </c>
      <c r="BH186" s="220">
        <v>1055.69</v>
      </c>
      <c r="BI186" s="220">
        <v>1104.45</v>
      </c>
      <c r="BJ186" s="229">
        <v>590.34</v>
      </c>
      <c r="BK186" s="220">
        <v>523.20000000000005</v>
      </c>
      <c r="BL186" s="220">
        <v>527.20000000000005</v>
      </c>
      <c r="BM186" s="220">
        <v>732.15</v>
      </c>
      <c r="BN186" s="224">
        <v>522.4</v>
      </c>
      <c r="BO186" s="220">
        <v>1435</v>
      </c>
      <c r="BP186" s="220">
        <v>1435</v>
      </c>
      <c r="BQ186" s="220">
        <v>838</v>
      </c>
      <c r="BR186" s="220">
        <v>838</v>
      </c>
      <c r="BS186" s="224">
        <v>838</v>
      </c>
      <c r="BT186" s="220" t="s">
        <v>386</v>
      </c>
      <c r="BU186" s="220" t="s">
        <v>386</v>
      </c>
      <c r="BV186" s="220" t="s">
        <v>386</v>
      </c>
      <c r="BW186" s="220" t="s">
        <v>386</v>
      </c>
      <c r="BX186" s="224" t="s">
        <v>386</v>
      </c>
      <c r="BY186" s="220">
        <v>1351.19</v>
      </c>
      <c r="BZ186" s="220">
        <v>1303.2</v>
      </c>
      <c r="CA186" s="220">
        <v>1403.5</v>
      </c>
      <c r="CB186" s="220">
        <v>1475.26</v>
      </c>
      <c r="CC186" s="220">
        <v>1267.2</v>
      </c>
      <c r="CD186" s="229">
        <v>1696.92</v>
      </c>
      <c r="CE186" s="220">
        <v>1460.8</v>
      </c>
      <c r="CF186" s="220">
        <v>1161.5999999999999</v>
      </c>
      <c r="CG186" s="220">
        <v>1751.99</v>
      </c>
      <c r="CH186" s="224">
        <v>1444.48</v>
      </c>
    </row>
    <row r="187" spans="1:86" x14ac:dyDescent="0.25">
      <c r="A187" s="223" t="s">
        <v>296</v>
      </c>
      <c r="B187" s="229">
        <v>52.25</v>
      </c>
      <c r="C187" s="220">
        <v>27.099999999999998</v>
      </c>
      <c r="D187" s="220">
        <v>32.620000000000005</v>
      </c>
      <c r="E187" s="220">
        <v>61.13</v>
      </c>
      <c r="F187" s="224">
        <v>45.14</v>
      </c>
      <c r="G187" s="363" t="s">
        <v>386</v>
      </c>
      <c r="H187" s="363" t="s">
        <v>386</v>
      </c>
      <c r="I187" s="363" t="s">
        <v>386</v>
      </c>
      <c r="J187" s="363" t="s">
        <v>386</v>
      </c>
      <c r="K187" s="363" t="s">
        <v>386</v>
      </c>
      <c r="L187" s="229">
        <v>191.64</v>
      </c>
      <c r="M187" s="220">
        <v>182.47</v>
      </c>
      <c r="N187" s="220">
        <v>201.6</v>
      </c>
      <c r="O187" s="220">
        <v>205</v>
      </c>
      <c r="P187" s="224">
        <v>191.07</v>
      </c>
      <c r="Q187" s="220">
        <v>46.73</v>
      </c>
      <c r="R187" s="220">
        <v>19.75</v>
      </c>
      <c r="S187" s="220">
        <v>29.79</v>
      </c>
      <c r="T187" s="220">
        <v>64.490000000000009</v>
      </c>
      <c r="U187" s="220">
        <v>29.49</v>
      </c>
      <c r="V187" s="229">
        <v>62.8</v>
      </c>
      <c r="W187" s="220">
        <v>20.8</v>
      </c>
      <c r="X187" s="220">
        <v>26.66</v>
      </c>
      <c r="Y187" s="220">
        <v>63</v>
      </c>
      <c r="Z187" s="224">
        <v>34.340000000000003</v>
      </c>
      <c r="AA187" s="363" t="s">
        <v>386</v>
      </c>
      <c r="AB187" s="363" t="s">
        <v>386</v>
      </c>
      <c r="AC187" s="363" t="s">
        <v>386</v>
      </c>
      <c r="AD187" s="363" t="s">
        <v>386</v>
      </c>
      <c r="AE187" s="363" t="s">
        <v>386</v>
      </c>
      <c r="AF187" s="229">
        <v>31</v>
      </c>
      <c r="AG187" s="220">
        <v>28</v>
      </c>
      <c r="AH187" s="220">
        <v>26</v>
      </c>
      <c r="AI187" s="220">
        <v>24.18</v>
      </c>
      <c r="AJ187" s="224">
        <v>26</v>
      </c>
      <c r="AK187" s="363" t="s">
        <v>386</v>
      </c>
      <c r="AL187" s="363" t="s">
        <v>386</v>
      </c>
      <c r="AM187" s="363" t="s">
        <v>386</v>
      </c>
      <c r="AN187" s="363" t="s">
        <v>386</v>
      </c>
      <c r="AO187" s="363" t="s">
        <v>386</v>
      </c>
      <c r="AP187" s="362">
        <v>1407.73</v>
      </c>
      <c r="AQ187" s="363">
        <v>965.57</v>
      </c>
      <c r="AR187" s="363">
        <v>1721.78</v>
      </c>
      <c r="AS187" s="363">
        <v>1721.78</v>
      </c>
      <c r="AT187" s="364">
        <v>1432.35</v>
      </c>
      <c r="AU187" s="220">
        <v>2165.9</v>
      </c>
      <c r="AV187" s="220">
        <v>837.6</v>
      </c>
      <c r="AW187" s="220">
        <v>1448.65</v>
      </c>
      <c r="AX187" s="220">
        <v>2729.06</v>
      </c>
      <c r="AY187" s="220">
        <v>1529.2</v>
      </c>
      <c r="AZ187" s="362">
        <v>1264.3599999999999</v>
      </c>
      <c r="BA187" s="363">
        <v>678.4</v>
      </c>
      <c r="BB187" s="363">
        <v>772.93</v>
      </c>
      <c r="BC187" s="363">
        <v>1060.3</v>
      </c>
      <c r="BD187" s="364">
        <v>678.4</v>
      </c>
      <c r="BE187" s="220">
        <v>852.02</v>
      </c>
      <c r="BF187" s="220">
        <v>548.79999999999995</v>
      </c>
      <c r="BG187" s="220">
        <v>548.79999999999995</v>
      </c>
      <c r="BH187" s="220">
        <v>1073.67</v>
      </c>
      <c r="BI187" s="220">
        <v>815.76</v>
      </c>
      <c r="BJ187" s="229" t="s">
        <v>386</v>
      </c>
      <c r="BK187" s="220" t="s">
        <v>386</v>
      </c>
      <c r="BL187" s="220" t="s">
        <v>386</v>
      </c>
      <c r="BM187" s="220" t="s">
        <v>386</v>
      </c>
      <c r="BN187" s="224" t="s">
        <v>386</v>
      </c>
      <c r="BO187" s="220" t="s">
        <v>386</v>
      </c>
      <c r="BP187" s="220" t="s">
        <v>386</v>
      </c>
      <c r="BQ187" s="220" t="s">
        <v>386</v>
      </c>
      <c r="BR187" s="220" t="s">
        <v>386</v>
      </c>
      <c r="BS187" s="224" t="s">
        <v>386</v>
      </c>
      <c r="BT187" s="363" t="s">
        <v>386</v>
      </c>
      <c r="BU187" s="363" t="s">
        <v>386</v>
      </c>
      <c r="BV187" s="363" t="s">
        <v>386</v>
      </c>
      <c r="BW187" s="363" t="s">
        <v>386</v>
      </c>
      <c r="BX187" s="364" t="s">
        <v>386</v>
      </c>
      <c r="BY187" s="363" t="s">
        <v>386</v>
      </c>
      <c r="BZ187" s="363" t="s">
        <v>386</v>
      </c>
      <c r="CA187" s="363" t="s">
        <v>386</v>
      </c>
      <c r="CB187" s="363" t="s">
        <v>386</v>
      </c>
      <c r="CC187" s="363" t="s">
        <v>386</v>
      </c>
      <c r="CD187" s="362" t="s">
        <v>386</v>
      </c>
      <c r="CE187" s="363" t="s">
        <v>386</v>
      </c>
      <c r="CF187" s="363" t="s">
        <v>386</v>
      </c>
      <c r="CG187" s="363" t="s">
        <v>386</v>
      </c>
      <c r="CH187" s="364" t="s">
        <v>386</v>
      </c>
    </row>
    <row r="188" spans="1:86" x14ac:dyDescent="0.25">
      <c r="A188" s="223" t="s">
        <v>297</v>
      </c>
      <c r="B188" s="229">
        <v>47.86</v>
      </c>
      <c r="C188" s="220">
        <v>28.6</v>
      </c>
      <c r="D188" s="220">
        <v>46.08</v>
      </c>
      <c r="E188" s="220">
        <v>57.47</v>
      </c>
      <c r="F188" s="224">
        <v>41.580000000000005</v>
      </c>
      <c r="G188" s="363" t="s">
        <v>386</v>
      </c>
      <c r="H188" s="363" t="s">
        <v>386</v>
      </c>
      <c r="I188" s="363" t="s">
        <v>386</v>
      </c>
      <c r="J188" s="363" t="s">
        <v>386</v>
      </c>
      <c r="K188" s="363" t="s">
        <v>386</v>
      </c>
      <c r="L188" s="362" t="s">
        <v>386</v>
      </c>
      <c r="M188" s="363" t="s">
        <v>386</v>
      </c>
      <c r="N188" s="363" t="s">
        <v>386</v>
      </c>
      <c r="O188" s="363" t="s">
        <v>386</v>
      </c>
      <c r="P188" s="364" t="s">
        <v>386</v>
      </c>
      <c r="Q188" s="220">
        <v>57.56</v>
      </c>
      <c r="R188" s="220">
        <v>99.89</v>
      </c>
      <c r="S188" s="220">
        <v>56.24</v>
      </c>
      <c r="T188" s="220">
        <v>71.61</v>
      </c>
      <c r="U188" s="220">
        <v>54.92</v>
      </c>
      <c r="V188" s="229">
        <v>44.97</v>
      </c>
      <c r="W188" s="220">
        <v>22.4</v>
      </c>
      <c r="X188" s="220">
        <v>26.66</v>
      </c>
      <c r="Y188" s="220">
        <v>63</v>
      </c>
      <c r="Z188" s="224">
        <v>34.340000000000003</v>
      </c>
      <c r="AA188" s="363" t="s">
        <v>386</v>
      </c>
      <c r="AB188" s="363" t="s">
        <v>386</v>
      </c>
      <c r="AC188" s="363" t="s">
        <v>386</v>
      </c>
      <c r="AD188" s="363" t="s">
        <v>386</v>
      </c>
      <c r="AE188" s="363" t="s">
        <v>386</v>
      </c>
      <c r="AF188" s="374" t="s">
        <v>386</v>
      </c>
      <c r="AG188" s="375" t="s">
        <v>386</v>
      </c>
      <c r="AH188" s="375" t="s">
        <v>386</v>
      </c>
      <c r="AI188" s="375" t="s">
        <v>386</v>
      </c>
      <c r="AJ188" s="376" t="s">
        <v>386</v>
      </c>
      <c r="AK188" s="363" t="s">
        <v>386</v>
      </c>
      <c r="AL188" s="363" t="s">
        <v>386</v>
      </c>
      <c r="AM188" s="363" t="s">
        <v>386</v>
      </c>
      <c r="AN188" s="363" t="s">
        <v>386</v>
      </c>
      <c r="AO188" s="363" t="s">
        <v>386</v>
      </c>
      <c r="AP188" s="362" t="s">
        <v>386</v>
      </c>
      <c r="AQ188" s="363" t="s">
        <v>386</v>
      </c>
      <c r="AR188" s="363" t="s">
        <v>386</v>
      </c>
      <c r="AS188" s="363" t="s">
        <v>386</v>
      </c>
      <c r="AT188" s="364" t="s">
        <v>386</v>
      </c>
      <c r="AU188" s="363" t="s">
        <v>386</v>
      </c>
      <c r="AV188" s="363" t="s">
        <v>386</v>
      </c>
      <c r="AW188" s="363" t="s">
        <v>386</v>
      </c>
      <c r="AX188" s="363" t="s">
        <v>386</v>
      </c>
      <c r="AY188" s="363" t="s">
        <v>386</v>
      </c>
      <c r="AZ188" s="362" t="s">
        <v>386</v>
      </c>
      <c r="BA188" s="363" t="s">
        <v>386</v>
      </c>
      <c r="BB188" s="363" t="s">
        <v>386</v>
      </c>
      <c r="BC188" s="363" t="s">
        <v>386</v>
      </c>
      <c r="BD188" s="364" t="s">
        <v>386</v>
      </c>
      <c r="BE188" s="363" t="s">
        <v>386</v>
      </c>
      <c r="BF188" s="363" t="s">
        <v>386</v>
      </c>
      <c r="BG188" s="363" t="s">
        <v>386</v>
      </c>
      <c r="BH188" s="363" t="s">
        <v>386</v>
      </c>
      <c r="BI188" s="363" t="s">
        <v>386</v>
      </c>
      <c r="BJ188" s="229" t="s">
        <v>386</v>
      </c>
      <c r="BK188" s="220" t="s">
        <v>386</v>
      </c>
      <c r="BL188" s="220" t="s">
        <v>386</v>
      </c>
      <c r="BM188" s="220" t="s">
        <v>386</v>
      </c>
      <c r="BN188" s="224" t="s">
        <v>386</v>
      </c>
      <c r="BO188" s="220" t="s">
        <v>386</v>
      </c>
      <c r="BP188" s="220" t="s">
        <v>386</v>
      </c>
      <c r="BQ188" s="220" t="s">
        <v>386</v>
      </c>
      <c r="BR188" s="220" t="s">
        <v>386</v>
      </c>
      <c r="BS188" s="224" t="s">
        <v>386</v>
      </c>
      <c r="BT188" s="363" t="s">
        <v>386</v>
      </c>
      <c r="BU188" s="363" t="s">
        <v>386</v>
      </c>
      <c r="BV188" s="363" t="s">
        <v>386</v>
      </c>
      <c r="BW188" s="363" t="s">
        <v>386</v>
      </c>
      <c r="BX188" s="364" t="s">
        <v>386</v>
      </c>
      <c r="BY188" s="363" t="s">
        <v>386</v>
      </c>
      <c r="BZ188" s="363" t="s">
        <v>386</v>
      </c>
      <c r="CA188" s="363" t="s">
        <v>386</v>
      </c>
      <c r="CB188" s="363" t="s">
        <v>386</v>
      </c>
      <c r="CC188" s="363" t="s">
        <v>386</v>
      </c>
      <c r="CD188" s="362" t="s">
        <v>386</v>
      </c>
      <c r="CE188" s="363" t="s">
        <v>386</v>
      </c>
      <c r="CF188" s="363" t="s">
        <v>386</v>
      </c>
      <c r="CG188" s="363" t="s">
        <v>386</v>
      </c>
      <c r="CH188" s="364" t="s">
        <v>386</v>
      </c>
    </row>
    <row r="189" spans="1:86" x14ac:dyDescent="0.25">
      <c r="A189" s="223" t="s">
        <v>298</v>
      </c>
      <c r="B189" s="229">
        <v>55.25</v>
      </c>
      <c r="C189" s="220">
        <v>50.02</v>
      </c>
      <c r="D189" s="220">
        <v>38.08</v>
      </c>
      <c r="E189" s="220">
        <v>51.77</v>
      </c>
      <c r="F189" s="224">
        <v>55.34</v>
      </c>
      <c r="G189" s="363" t="s">
        <v>386</v>
      </c>
      <c r="H189" s="363" t="s">
        <v>386</v>
      </c>
      <c r="I189" s="363" t="s">
        <v>386</v>
      </c>
      <c r="J189" s="363" t="s">
        <v>386</v>
      </c>
      <c r="K189" s="363" t="s">
        <v>386</v>
      </c>
      <c r="L189" s="229">
        <v>164.04</v>
      </c>
      <c r="M189" s="220">
        <v>175.52</v>
      </c>
      <c r="N189" s="220">
        <v>169.29</v>
      </c>
      <c r="O189" s="220">
        <v>188.78</v>
      </c>
      <c r="P189" s="224">
        <v>162.86000000000001</v>
      </c>
      <c r="Q189" s="220">
        <v>65.58</v>
      </c>
      <c r="R189" s="220">
        <v>38.130000000000003</v>
      </c>
      <c r="S189" s="220">
        <v>34.76</v>
      </c>
      <c r="T189" s="220">
        <v>53.129999999999995</v>
      </c>
      <c r="U189" s="220">
        <v>38.96</v>
      </c>
      <c r="V189" s="229">
        <v>40.81</v>
      </c>
      <c r="W189" s="220">
        <v>26.4</v>
      </c>
      <c r="X189" s="220">
        <v>26.66</v>
      </c>
      <c r="Y189" s="220">
        <v>63</v>
      </c>
      <c r="Z189" s="224">
        <v>34.340000000000003</v>
      </c>
      <c r="AA189" s="220">
        <v>18.09</v>
      </c>
      <c r="AB189" s="220">
        <v>12.8</v>
      </c>
      <c r="AC189" s="220">
        <v>12.8</v>
      </c>
      <c r="AD189" s="220">
        <v>12.8</v>
      </c>
      <c r="AE189" s="220">
        <v>10.4</v>
      </c>
      <c r="AF189" s="374" t="s">
        <v>386</v>
      </c>
      <c r="AG189" s="375" t="s">
        <v>386</v>
      </c>
      <c r="AH189" s="375" t="s">
        <v>386</v>
      </c>
      <c r="AI189" s="375" t="s">
        <v>386</v>
      </c>
      <c r="AJ189" s="376" t="s">
        <v>386</v>
      </c>
      <c r="AK189" s="220" t="s">
        <v>386</v>
      </c>
      <c r="AL189" s="220" t="s">
        <v>386</v>
      </c>
      <c r="AM189" s="220" t="s">
        <v>386</v>
      </c>
      <c r="AN189" s="220" t="s">
        <v>386</v>
      </c>
      <c r="AO189" s="220" t="s">
        <v>386</v>
      </c>
      <c r="AP189" s="362" t="s">
        <v>386</v>
      </c>
      <c r="AQ189" s="363" t="s">
        <v>386</v>
      </c>
      <c r="AR189" s="363" t="s">
        <v>386</v>
      </c>
      <c r="AS189" s="363" t="s">
        <v>386</v>
      </c>
      <c r="AT189" s="364" t="s">
        <v>386</v>
      </c>
      <c r="AU189" s="220">
        <v>1907.09</v>
      </c>
      <c r="AV189" s="220">
        <v>1243.5</v>
      </c>
      <c r="AW189" s="220">
        <v>984</v>
      </c>
      <c r="AX189" s="220">
        <v>2161.5700000000002</v>
      </c>
      <c r="AY189" s="220">
        <v>1105.79</v>
      </c>
      <c r="AZ189" s="229">
        <v>1668.58</v>
      </c>
      <c r="BA189" s="220">
        <v>704</v>
      </c>
      <c r="BB189" s="220">
        <v>777.6</v>
      </c>
      <c r="BC189" s="220">
        <v>1317.73</v>
      </c>
      <c r="BD189" s="224">
        <v>774.4</v>
      </c>
      <c r="BE189" s="363" t="s">
        <v>386</v>
      </c>
      <c r="BF189" s="363" t="s">
        <v>386</v>
      </c>
      <c r="BG189" s="363" t="s">
        <v>386</v>
      </c>
      <c r="BH189" s="363" t="s">
        <v>386</v>
      </c>
      <c r="BI189" s="363" t="s">
        <v>386</v>
      </c>
      <c r="BJ189" s="229">
        <v>687.38</v>
      </c>
      <c r="BK189" s="220">
        <v>426.4</v>
      </c>
      <c r="BL189" s="220">
        <v>423.6</v>
      </c>
      <c r="BM189" s="220">
        <v>527.29999999999995</v>
      </c>
      <c r="BN189" s="224">
        <v>436.36</v>
      </c>
      <c r="BO189" s="220" t="s">
        <v>386</v>
      </c>
      <c r="BP189" s="220" t="s">
        <v>386</v>
      </c>
      <c r="BQ189" s="220" t="s">
        <v>386</v>
      </c>
      <c r="BR189" s="220" t="s">
        <v>386</v>
      </c>
      <c r="BS189" s="224" t="s">
        <v>386</v>
      </c>
      <c r="BT189" s="220" t="s">
        <v>386</v>
      </c>
      <c r="BU189" s="220" t="s">
        <v>386</v>
      </c>
      <c r="BV189" s="220" t="s">
        <v>386</v>
      </c>
      <c r="BW189" s="220" t="s">
        <v>386</v>
      </c>
      <c r="BX189" s="224" t="s">
        <v>386</v>
      </c>
      <c r="BY189" s="220">
        <v>1341.13</v>
      </c>
      <c r="BZ189" s="220">
        <v>1033.21</v>
      </c>
      <c r="CA189" s="220">
        <v>1159.2</v>
      </c>
      <c r="CB189" s="220">
        <v>1427.43</v>
      </c>
      <c r="CC189" s="220">
        <v>1163.2</v>
      </c>
      <c r="CD189" s="229" t="s">
        <v>386</v>
      </c>
      <c r="CE189" s="220" t="s">
        <v>386</v>
      </c>
      <c r="CF189" s="220" t="s">
        <v>386</v>
      </c>
      <c r="CG189" s="220" t="s">
        <v>386</v>
      </c>
      <c r="CH189" s="224" t="s">
        <v>386</v>
      </c>
    </row>
    <row r="190" spans="1:86" x14ac:dyDescent="0.25">
      <c r="A190" s="223" t="s">
        <v>299</v>
      </c>
      <c r="B190" s="229">
        <v>41.97</v>
      </c>
      <c r="C190" s="220">
        <v>26.51</v>
      </c>
      <c r="D190" s="220">
        <v>26.200000000000003</v>
      </c>
      <c r="E190" s="220">
        <v>25.25</v>
      </c>
      <c r="F190" s="224">
        <v>25.1</v>
      </c>
      <c r="G190" s="363" t="s">
        <v>386</v>
      </c>
      <c r="H190" s="363" t="s">
        <v>386</v>
      </c>
      <c r="I190" s="363" t="s">
        <v>386</v>
      </c>
      <c r="J190" s="363" t="s">
        <v>386</v>
      </c>
      <c r="K190" s="363" t="s">
        <v>386</v>
      </c>
      <c r="L190" s="229">
        <v>164.04</v>
      </c>
      <c r="M190" s="220">
        <v>175.52</v>
      </c>
      <c r="N190" s="220">
        <v>169.29</v>
      </c>
      <c r="O190" s="220">
        <v>188.78</v>
      </c>
      <c r="P190" s="224">
        <v>162.86000000000001</v>
      </c>
      <c r="Q190" s="220">
        <v>54.87</v>
      </c>
      <c r="R190" s="220">
        <v>31</v>
      </c>
      <c r="S190" s="220">
        <v>34.79</v>
      </c>
      <c r="T190" s="220">
        <v>32.36</v>
      </c>
      <c r="U190" s="220">
        <v>34.410000000000004</v>
      </c>
      <c r="V190" s="229">
        <v>80.989999999999995</v>
      </c>
      <c r="W190" s="220">
        <v>28.8</v>
      </c>
      <c r="X190" s="220">
        <v>30.58</v>
      </c>
      <c r="Y190" s="220">
        <v>63</v>
      </c>
      <c r="Z190" s="224">
        <v>34.340000000000003</v>
      </c>
      <c r="AA190" s="363">
        <v>11.2</v>
      </c>
      <c r="AB190" s="363">
        <v>10.4</v>
      </c>
      <c r="AC190" s="363">
        <v>11.2</v>
      </c>
      <c r="AD190" s="363">
        <v>10.4</v>
      </c>
      <c r="AE190" s="363">
        <v>9.6</v>
      </c>
      <c r="AF190" s="374" t="s">
        <v>386</v>
      </c>
      <c r="AG190" s="375" t="s">
        <v>386</v>
      </c>
      <c r="AH190" s="375" t="s">
        <v>386</v>
      </c>
      <c r="AI190" s="375" t="s">
        <v>386</v>
      </c>
      <c r="AJ190" s="376" t="s">
        <v>386</v>
      </c>
      <c r="AK190" s="220">
        <v>1317.36</v>
      </c>
      <c r="AL190" s="220">
        <v>1114.8</v>
      </c>
      <c r="AM190" s="220">
        <v>939.84</v>
      </c>
      <c r="AN190" s="220">
        <v>931.28</v>
      </c>
      <c r="AO190" s="220">
        <v>905.12</v>
      </c>
      <c r="AP190" s="362" t="s">
        <v>386</v>
      </c>
      <c r="AQ190" s="363" t="s">
        <v>386</v>
      </c>
      <c r="AR190" s="363" t="s">
        <v>386</v>
      </c>
      <c r="AS190" s="363" t="s">
        <v>386</v>
      </c>
      <c r="AT190" s="364" t="s">
        <v>386</v>
      </c>
      <c r="AU190" s="220">
        <v>2108.71</v>
      </c>
      <c r="AV190" s="220">
        <v>984.8</v>
      </c>
      <c r="AW190" s="220">
        <v>1312.07</v>
      </c>
      <c r="AX190" s="220">
        <v>1044.8</v>
      </c>
      <c r="AY190" s="220">
        <v>1023.2</v>
      </c>
      <c r="AZ190" s="229">
        <v>1420.47</v>
      </c>
      <c r="BA190" s="220">
        <v>855.2</v>
      </c>
      <c r="BB190" s="220">
        <v>865.24</v>
      </c>
      <c r="BC190" s="220">
        <v>935.51</v>
      </c>
      <c r="BD190" s="224">
        <v>850.4</v>
      </c>
      <c r="BE190" s="363" t="s">
        <v>386</v>
      </c>
      <c r="BF190" s="363" t="s">
        <v>386</v>
      </c>
      <c r="BG190" s="363" t="s">
        <v>386</v>
      </c>
      <c r="BH190" s="363" t="s">
        <v>386</v>
      </c>
      <c r="BI190" s="363" t="s">
        <v>386</v>
      </c>
      <c r="BJ190" s="229">
        <v>831.33</v>
      </c>
      <c r="BK190" s="220">
        <v>502.4</v>
      </c>
      <c r="BL190" s="220">
        <v>503.2</v>
      </c>
      <c r="BM190" s="220">
        <v>503.2</v>
      </c>
      <c r="BN190" s="224">
        <v>505.6</v>
      </c>
      <c r="BO190" s="220" t="s">
        <v>386</v>
      </c>
      <c r="BP190" s="220" t="s">
        <v>386</v>
      </c>
      <c r="BQ190" s="220" t="s">
        <v>386</v>
      </c>
      <c r="BR190" s="220" t="s">
        <v>386</v>
      </c>
      <c r="BS190" s="224" t="s">
        <v>386</v>
      </c>
      <c r="BT190" s="220" t="s">
        <v>386</v>
      </c>
      <c r="BU190" s="220" t="s">
        <v>386</v>
      </c>
      <c r="BV190" s="220" t="s">
        <v>386</v>
      </c>
      <c r="BW190" s="220" t="s">
        <v>386</v>
      </c>
      <c r="BX190" s="224" t="s">
        <v>386</v>
      </c>
      <c r="BY190" s="220">
        <v>1526.01</v>
      </c>
      <c r="BZ190" s="220">
        <v>762.4</v>
      </c>
      <c r="CA190" s="220">
        <v>728</v>
      </c>
      <c r="CB190" s="220">
        <v>793.6</v>
      </c>
      <c r="CC190" s="220">
        <v>838.35</v>
      </c>
      <c r="CD190" s="229">
        <v>1198.27</v>
      </c>
      <c r="CE190" s="220">
        <v>1033.5999999999999</v>
      </c>
      <c r="CF190" s="220">
        <v>900</v>
      </c>
      <c r="CG190" s="220">
        <v>943.2</v>
      </c>
      <c r="CH190" s="224">
        <v>1281.26</v>
      </c>
    </row>
    <row r="191" spans="1:86" x14ac:dyDescent="0.25">
      <c r="A191" s="223" t="s">
        <v>300</v>
      </c>
      <c r="B191" s="229">
        <v>44.660000000000004</v>
      </c>
      <c r="C191" s="220">
        <v>27.2</v>
      </c>
      <c r="D191" s="220">
        <v>52.78</v>
      </c>
      <c r="E191" s="220">
        <v>52.629999999999995</v>
      </c>
      <c r="F191" s="224">
        <v>36.74</v>
      </c>
      <c r="G191" s="363" t="s">
        <v>386</v>
      </c>
      <c r="H191" s="363" t="s">
        <v>386</v>
      </c>
      <c r="I191" s="363" t="s">
        <v>386</v>
      </c>
      <c r="J191" s="363" t="s">
        <v>386</v>
      </c>
      <c r="K191" s="363" t="s">
        <v>386</v>
      </c>
      <c r="L191" s="229">
        <v>169.01</v>
      </c>
      <c r="M191" s="220">
        <v>187.18</v>
      </c>
      <c r="N191" s="220">
        <v>184.98000000000002</v>
      </c>
      <c r="O191" s="220">
        <v>201.81</v>
      </c>
      <c r="P191" s="224">
        <v>217.25</v>
      </c>
      <c r="Q191" s="220">
        <v>107.7</v>
      </c>
      <c r="R191" s="220">
        <v>108.31</v>
      </c>
      <c r="S191" s="220">
        <v>123.22</v>
      </c>
      <c r="T191" s="220">
        <v>122.39</v>
      </c>
      <c r="U191" s="220">
        <v>120.85000000000001</v>
      </c>
      <c r="V191" s="229">
        <v>62.8</v>
      </c>
      <c r="W191" s="220">
        <v>36.799999999999997</v>
      </c>
      <c r="X191" s="220">
        <v>54.4</v>
      </c>
      <c r="Y191" s="220">
        <v>63</v>
      </c>
      <c r="Z191" s="224">
        <v>54.4</v>
      </c>
      <c r="AA191" s="363" t="s">
        <v>386</v>
      </c>
      <c r="AB191" s="363" t="s">
        <v>386</v>
      </c>
      <c r="AC191" s="363" t="s">
        <v>386</v>
      </c>
      <c r="AD191" s="363" t="s">
        <v>386</v>
      </c>
      <c r="AE191" s="363" t="s">
        <v>386</v>
      </c>
      <c r="AF191" s="374" t="s">
        <v>386</v>
      </c>
      <c r="AG191" s="375" t="s">
        <v>386</v>
      </c>
      <c r="AH191" s="375" t="s">
        <v>386</v>
      </c>
      <c r="AI191" s="375" t="s">
        <v>386</v>
      </c>
      <c r="AJ191" s="376" t="s">
        <v>386</v>
      </c>
      <c r="AK191" s="363" t="s">
        <v>386</v>
      </c>
      <c r="AL191" s="363" t="s">
        <v>386</v>
      </c>
      <c r="AM191" s="363" t="s">
        <v>386</v>
      </c>
      <c r="AN191" s="363" t="s">
        <v>386</v>
      </c>
      <c r="AO191" s="363" t="s">
        <v>386</v>
      </c>
      <c r="AP191" s="362" t="s">
        <v>386</v>
      </c>
      <c r="AQ191" s="363" t="s">
        <v>386</v>
      </c>
      <c r="AR191" s="363" t="s">
        <v>386</v>
      </c>
      <c r="AS191" s="363" t="s">
        <v>386</v>
      </c>
      <c r="AT191" s="364" t="s">
        <v>386</v>
      </c>
      <c r="AU191" s="363" t="s">
        <v>386</v>
      </c>
      <c r="AV191" s="363" t="s">
        <v>386</v>
      </c>
      <c r="AW191" s="363" t="s">
        <v>386</v>
      </c>
      <c r="AX191" s="363" t="s">
        <v>386</v>
      </c>
      <c r="AY191" s="363" t="s">
        <v>386</v>
      </c>
      <c r="AZ191" s="362" t="s">
        <v>386</v>
      </c>
      <c r="BA191" s="363" t="s">
        <v>386</v>
      </c>
      <c r="BB191" s="363" t="s">
        <v>386</v>
      </c>
      <c r="BC191" s="363" t="s">
        <v>386</v>
      </c>
      <c r="BD191" s="364" t="s">
        <v>386</v>
      </c>
      <c r="BE191" s="220">
        <v>872.48</v>
      </c>
      <c r="BF191" s="220">
        <v>496</v>
      </c>
      <c r="BG191" s="220">
        <v>514.63</v>
      </c>
      <c r="BH191" s="220">
        <v>885.94</v>
      </c>
      <c r="BI191" s="220">
        <v>801.17</v>
      </c>
      <c r="BJ191" s="229" t="s">
        <v>386</v>
      </c>
      <c r="BK191" s="220" t="s">
        <v>386</v>
      </c>
      <c r="BL191" s="220" t="s">
        <v>386</v>
      </c>
      <c r="BM191" s="220" t="s">
        <v>386</v>
      </c>
      <c r="BN191" s="224" t="s">
        <v>386</v>
      </c>
      <c r="BO191" s="220" t="s">
        <v>386</v>
      </c>
      <c r="BP191" s="220" t="s">
        <v>386</v>
      </c>
      <c r="BQ191" s="220" t="s">
        <v>386</v>
      </c>
      <c r="BR191" s="220" t="s">
        <v>386</v>
      </c>
      <c r="BS191" s="224" t="s">
        <v>386</v>
      </c>
      <c r="BT191" s="363" t="s">
        <v>386</v>
      </c>
      <c r="BU191" s="363" t="s">
        <v>386</v>
      </c>
      <c r="BV191" s="363" t="s">
        <v>386</v>
      </c>
      <c r="BW191" s="363" t="s">
        <v>386</v>
      </c>
      <c r="BX191" s="364" t="s">
        <v>386</v>
      </c>
      <c r="BY191" s="363" t="s">
        <v>386</v>
      </c>
      <c r="BZ191" s="363" t="s">
        <v>386</v>
      </c>
      <c r="CA191" s="363" t="s">
        <v>386</v>
      </c>
      <c r="CB191" s="363" t="s">
        <v>386</v>
      </c>
      <c r="CC191" s="363" t="s">
        <v>386</v>
      </c>
      <c r="CD191" s="362" t="s">
        <v>386</v>
      </c>
      <c r="CE191" s="363" t="s">
        <v>386</v>
      </c>
      <c r="CF191" s="363" t="s">
        <v>386</v>
      </c>
      <c r="CG191" s="363" t="s">
        <v>386</v>
      </c>
      <c r="CH191" s="364" t="s">
        <v>386</v>
      </c>
    </row>
    <row r="192" spans="1:86" x14ac:dyDescent="0.25">
      <c r="A192" s="223" t="s">
        <v>301</v>
      </c>
      <c r="B192" s="229">
        <v>39.94</v>
      </c>
      <c r="C192" s="220">
        <v>25.25</v>
      </c>
      <c r="D192" s="220">
        <v>25</v>
      </c>
      <c r="E192" s="220">
        <v>25.3</v>
      </c>
      <c r="F192" s="224">
        <v>23.7</v>
      </c>
      <c r="G192" s="363">
        <v>33.090000000000003</v>
      </c>
      <c r="H192" s="363">
        <v>33.659999999999997</v>
      </c>
      <c r="I192" s="363">
        <v>39.049999999999997</v>
      </c>
      <c r="J192" s="363">
        <v>34</v>
      </c>
      <c r="K192" s="363">
        <v>27.2</v>
      </c>
      <c r="L192" s="229">
        <v>143.88</v>
      </c>
      <c r="M192" s="220">
        <v>182.65</v>
      </c>
      <c r="N192" s="220">
        <v>158.69999999999999</v>
      </c>
      <c r="O192" s="220">
        <v>164.33</v>
      </c>
      <c r="P192" s="224">
        <v>162.86000000000001</v>
      </c>
      <c r="Q192" s="220">
        <v>60.6</v>
      </c>
      <c r="R192" s="220">
        <v>22.650000000000002</v>
      </c>
      <c r="S192" s="220">
        <v>37.019999999999996</v>
      </c>
      <c r="T192" s="220">
        <v>53.51</v>
      </c>
      <c r="U192" s="220">
        <v>26.81</v>
      </c>
      <c r="V192" s="229">
        <v>40.880000000000003</v>
      </c>
      <c r="W192" s="220">
        <v>27.2</v>
      </c>
      <c r="X192" s="220">
        <v>26.66</v>
      </c>
      <c r="Y192" s="220">
        <v>36.909999999999997</v>
      </c>
      <c r="Z192" s="224">
        <v>49.77</v>
      </c>
      <c r="AA192" s="220">
        <v>12.8</v>
      </c>
      <c r="AB192" s="220">
        <v>12</v>
      </c>
      <c r="AC192" s="220">
        <v>11.2</v>
      </c>
      <c r="AD192" s="220">
        <v>12</v>
      </c>
      <c r="AE192" s="220">
        <v>9.6</v>
      </c>
      <c r="AF192" s="383">
        <v>31</v>
      </c>
      <c r="AG192" s="384">
        <v>28</v>
      </c>
      <c r="AH192" s="384">
        <v>26</v>
      </c>
      <c r="AI192" s="384">
        <v>23.47</v>
      </c>
      <c r="AJ192" s="385">
        <v>26</v>
      </c>
      <c r="AK192" s="220">
        <v>1543.98</v>
      </c>
      <c r="AL192" s="220">
        <v>947.25</v>
      </c>
      <c r="AM192" s="220">
        <v>963.4</v>
      </c>
      <c r="AN192" s="220">
        <v>951.55</v>
      </c>
      <c r="AO192" s="220">
        <v>950.90000000000009</v>
      </c>
      <c r="AP192" s="229">
        <v>1407.73</v>
      </c>
      <c r="AQ192" s="220">
        <v>984.8</v>
      </c>
      <c r="AR192" s="220">
        <v>1721.78</v>
      </c>
      <c r="AS192" s="220">
        <v>1721.78</v>
      </c>
      <c r="AT192" s="224">
        <v>1432.35</v>
      </c>
      <c r="AU192" s="220">
        <v>2355.5700000000002</v>
      </c>
      <c r="AV192" s="220">
        <v>1212.8</v>
      </c>
      <c r="AW192" s="220">
        <v>1280</v>
      </c>
      <c r="AX192" s="220">
        <v>1598.88</v>
      </c>
      <c r="AY192" s="220">
        <v>1361.38</v>
      </c>
      <c r="AZ192" s="229">
        <v>1696.73</v>
      </c>
      <c r="BA192" s="220">
        <v>927.2</v>
      </c>
      <c r="BB192" s="220">
        <v>941.6</v>
      </c>
      <c r="BC192" s="220">
        <v>1043.8800000000001</v>
      </c>
      <c r="BD192" s="224">
        <v>944.52</v>
      </c>
      <c r="BE192" s="220">
        <v>852.3</v>
      </c>
      <c r="BF192" s="220">
        <v>651.20000000000005</v>
      </c>
      <c r="BG192" s="220">
        <v>1028.47</v>
      </c>
      <c r="BH192" s="220">
        <v>1076.96</v>
      </c>
      <c r="BI192" s="220">
        <v>965.38</v>
      </c>
      <c r="BJ192" s="229">
        <v>686.83</v>
      </c>
      <c r="BK192" s="220">
        <v>363.2</v>
      </c>
      <c r="BL192" s="220">
        <v>416.8</v>
      </c>
      <c r="BM192" s="220">
        <v>416.8</v>
      </c>
      <c r="BN192" s="224">
        <v>416.8</v>
      </c>
      <c r="BO192" s="220" t="s">
        <v>386</v>
      </c>
      <c r="BP192" s="220" t="s">
        <v>386</v>
      </c>
      <c r="BQ192" s="220" t="s">
        <v>386</v>
      </c>
      <c r="BR192" s="220" t="s">
        <v>386</v>
      </c>
      <c r="BS192" s="224" t="s">
        <v>386</v>
      </c>
      <c r="BT192" s="220" t="s">
        <v>386</v>
      </c>
      <c r="BU192" s="220" t="s">
        <v>386</v>
      </c>
      <c r="BV192" s="220" t="s">
        <v>386</v>
      </c>
      <c r="BW192" s="220" t="s">
        <v>386</v>
      </c>
      <c r="BX192" s="224" t="s">
        <v>386</v>
      </c>
      <c r="BY192" s="220">
        <v>1819.81</v>
      </c>
      <c r="BZ192" s="220">
        <v>1012</v>
      </c>
      <c r="CA192" s="220">
        <v>871.2</v>
      </c>
      <c r="CB192" s="220">
        <v>989.59</v>
      </c>
      <c r="CC192" s="220">
        <v>903.39</v>
      </c>
      <c r="CD192" s="229">
        <v>1814.82</v>
      </c>
      <c r="CE192" s="220">
        <v>908.8</v>
      </c>
      <c r="CF192" s="220">
        <v>908.8</v>
      </c>
      <c r="CG192" s="220">
        <v>1277.1400000000001</v>
      </c>
      <c r="CH192" s="224">
        <v>1264.1500000000001</v>
      </c>
    </row>
    <row r="193" spans="1:86" x14ac:dyDescent="0.25">
      <c r="A193" s="223" t="s">
        <v>302</v>
      </c>
      <c r="B193" s="229">
        <v>32.1</v>
      </c>
      <c r="C193" s="220">
        <v>23.15</v>
      </c>
      <c r="D193" s="220">
        <v>23</v>
      </c>
      <c r="E193" s="220">
        <v>54.99</v>
      </c>
      <c r="F193" s="224">
        <v>32.75</v>
      </c>
      <c r="G193" s="363" t="s">
        <v>386</v>
      </c>
      <c r="H193" s="363" t="s">
        <v>386</v>
      </c>
      <c r="I193" s="363" t="s">
        <v>386</v>
      </c>
      <c r="J193" s="363" t="s">
        <v>386</v>
      </c>
      <c r="K193" s="363" t="s">
        <v>386</v>
      </c>
      <c r="L193" s="229">
        <v>164.04</v>
      </c>
      <c r="M193" s="220">
        <v>175.52</v>
      </c>
      <c r="N193" s="220">
        <v>169.29</v>
      </c>
      <c r="O193" s="220">
        <v>188.78</v>
      </c>
      <c r="P193" s="224">
        <v>162.86000000000001</v>
      </c>
      <c r="Q193" s="220" t="s">
        <v>386</v>
      </c>
      <c r="R193" s="220" t="s">
        <v>386</v>
      </c>
      <c r="S193" s="220" t="s">
        <v>386</v>
      </c>
      <c r="T193" s="220" t="s">
        <v>386</v>
      </c>
      <c r="U193" s="220" t="s">
        <v>386</v>
      </c>
      <c r="V193" s="229">
        <v>44.97</v>
      </c>
      <c r="W193" s="220">
        <v>43.2</v>
      </c>
      <c r="X193" s="220">
        <v>52</v>
      </c>
      <c r="Y193" s="220">
        <v>63</v>
      </c>
      <c r="Z193" s="224">
        <v>31.2</v>
      </c>
      <c r="AA193" s="363" t="s">
        <v>386</v>
      </c>
      <c r="AB193" s="363" t="s">
        <v>386</v>
      </c>
      <c r="AC193" s="363" t="s">
        <v>386</v>
      </c>
      <c r="AD193" s="363" t="s">
        <v>386</v>
      </c>
      <c r="AE193" s="363" t="s">
        <v>386</v>
      </c>
      <c r="AF193" s="374" t="s">
        <v>386</v>
      </c>
      <c r="AG193" s="375" t="s">
        <v>386</v>
      </c>
      <c r="AH193" s="375" t="s">
        <v>386</v>
      </c>
      <c r="AI193" s="375" t="s">
        <v>386</v>
      </c>
      <c r="AJ193" s="376" t="s">
        <v>386</v>
      </c>
      <c r="AK193" s="363">
        <v>1560.67</v>
      </c>
      <c r="AL193" s="363">
        <v>757.6</v>
      </c>
      <c r="AM193" s="363">
        <v>949.4</v>
      </c>
      <c r="AN193" s="363">
        <v>1072.0999999999999</v>
      </c>
      <c r="AO193" s="363">
        <v>949.4</v>
      </c>
      <c r="AP193" s="362" t="s">
        <v>386</v>
      </c>
      <c r="AQ193" s="363" t="s">
        <v>386</v>
      </c>
      <c r="AR193" s="363" t="s">
        <v>386</v>
      </c>
      <c r="AS193" s="363" t="s">
        <v>386</v>
      </c>
      <c r="AT193" s="364" t="s">
        <v>386</v>
      </c>
      <c r="AU193" s="220">
        <v>1725.47</v>
      </c>
      <c r="AV193" s="220">
        <v>908</v>
      </c>
      <c r="AW193" s="220">
        <v>1222.69</v>
      </c>
      <c r="AX193" s="220">
        <v>2000.38</v>
      </c>
      <c r="AY193" s="220">
        <v>1835.13</v>
      </c>
      <c r="AZ193" s="362">
        <v>1274.27</v>
      </c>
      <c r="BA193" s="363">
        <v>735.2</v>
      </c>
      <c r="BB193" s="363">
        <v>976.74</v>
      </c>
      <c r="BC193" s="363">
        <v>923.31</v>
      </c>
      <c r="BD193" s="364">
        <v>672.8</v>
      </c>
      <c r="BE193" s="363" t="s">
        <v>386</v>
      </c>
      <c r="BF193" s="363" t="s">
        <v>386</v>
      </c>
      <c r="BG193" s="363" t="s">
        <v>386</v>
      </c>
      <c r="BH193" s="363" t="s">
        <v>386</v>
      </c>
      <c r="BI193" s="363" t="s">
        <v>386</v>
      </c>
      <c r="BJ193" s="362" t="s">
        <v>386</v>
      </c>
      <c r="BK193" s="363" t="s">
        <v>386</v>
      </c>
      <c r="BL193" s="363" t="s">
        <v>386</v>
      </c>
      <c r="BM193" s="363" t="s">
        <v>386</v>
      </c>
      <c r="BN193" s="364" t="s">
        <v>386</v>
      </c>
      <c r="BO193" s="363" t="s">
        <v>386</v>
      </c>
      <c r="BP193" s="363" t="s">
        <v>386</v>
      </c>
      <c r="BQ193" s="363" t="s">
        <v>386</v>
      </c>
      <c r="BR193" s="363" t="s">
        <v>386</v>
      </c>
      <c r="BS193" s="364" t="s">
        <v>386</v>
      </c>
      <c r="BT193" s="363" t="s">
        <v>386</v>
      </c>
      <c r="BU193" s="363" t="s">
        <v>386</v>
      </c>
      <c r="BV193" s="363" t="s">
        <v>386</v>
      </c>
      <c r="BW193" s="363" t="s">
        <v>386</v>
      </c>
      <c r="BX193" s="364" t="s">
        <v>386</v>
      </c>
      <c r="BY193" s="363" t="s">
        <v>386</v>
      </c>
      <c r="BZ193" s="363" t="s">
        <v>386</v>
      </c>
      <c r="CA193" s="363" t="s">
        <v>386</v>
      </c>
      <c r="CB193" s="363" t="s">
        <v>386</v>
      </c>
      <c r="CC193" s="363" t="s">
        <v>386</v>
      </c>
      <c r="CD193" s="362" t="s">
        <v>386</v>
      </c>
      <c r="CE193" s="363" t="s">
        <v>386</v>
      </c>
      <c r="CF193" s="363" t="s">
        <v>386</v>
      </c>
      <c r="CG193" s="363" t="s">
        <v>386</v>
      </c>
      <c r="CH193" s="364" t="s">
        <v>386</v>
      </c>
    </row>
    <row r="194" spans="1:86" x14ac:dyDescent="0.25">
      <c r="A194" s="223" t="s">
        <v>303</v>
      </c>
      <c r="B194" s="229">
        <v>38.24</v>
      </c>
      <c r="C194" s="220">
        <v>28.85</v>
      </c>
      <c r="D194" s="220">
        <v>34.479999999999997</v>
      </c>
      <c r="E194" s="220">
        <v>45.559999999999995</v>
      </c>
      <c r="F194" s="224">
        <v>27.54</v>
      </c>
      <c r="G194" s="363">
        <v>33.090000000000003</v>
      </c>
      <c r="H194" s="363">
        <v>32</v>
      </c>
      <c r="I194" s="363">
        <v>32</v>
      </c>
      <c r="J194" s="363">
        <v>34</v>
      </c>
      <c r="K194" s="363">
        <v>32</v>
      </c>
      <c r="L194" s="229">
        <v>134.22</v>
      </c>
      <c r="M194" s="220">
        <v>126.08</v>
      </c>
      <c r="N194" s="220">
        <v>116.66</v>
      </c>
      <c r="O194" s="220">
        <v>173.58</v>
      </c>
      <c r="P194" s="224">
        <v>161.27000000000001</v>
      </c>
      <c r="Q194" s="220">
        <v>26.63</v>
      </c>
      <c r="R194" s="220">
        <v>22.25</v>
      </c>
      <c r="S194" s="220">
        <v>39.369999999999997</v>
      </c>
      <c r="T194" s="220">
        <v>43.339999999999996</v>
      </c>
      <c r="U194" s="220">
        <v>44.94</v>
      </c>
      <c r="V194" s="229">
        <v>32.799999999999997</v>
      </c>
      <c r="W194" s="220">
        <v>35.200000000000003</v>
      </c>
      <c r="X194" s="220">
        <v>35.200000000000003</v>
      </c>
      <c r="Y194" s="220">
        <v>63</v>
      </c>
      <c r="Z194" s="224">
        <v>45.71</v>
      </c>
      <c r="AA194" s="220">
        <v>16.79</v>
      </c>
      <c r="AB194" s="220">
        <v>15.2</v>
      </c>
      <c r="AC194" s="220">
        <v>17.010000000000002</v>
      </c>
      <c r="AD194" s="220">
        <v>11.2</v>
      </c>
      <c r="AE194" s="220">
        <v>14.85</v>
      </c>
      <c r="AF194" s="374" t="s">
        <v>386</v>
      </c>
      <c r="AG194" s="375" t="s">
        <v>386</v>
      </c>
      <c r="AH194" s="375" t="s">
        <v>386</v>
      </c>
      <c r="AI194" s="375" t="s">
        <v>386</v>
      </c>
      <c r="AJ194" s="376" t="s">
        <v>386</v>
      </c>
      <c r="AK194" s="220">
        <v>1757.9</v>
      </c>
      <c r="AL194" s="220">
        <v>988.8</v>
      </c>
      <c r="AM194" s="220">
        <v>1077.8900000000001</v>
      </c>
      <c r="AN194" s="220">
        <v>2214.37</v>
      </c>
      <c r="AO194" s="220">
        <v>1190.26</v>
      </c>
      <c r="AP194" s="229">
        <v>1407.73</v>
      </c>
      <c r="AQ194" s="220">
        <v>1154.4000000000001</v>
      </c>
      <c r="AR194" s="220">
        <v>1721.78</v>
      </c>
      <c r="AS194" s="220">
        <v>2334.87</v>
      </c>
      <c r="AT194" s="224">
        <v>1675.37</v>
      </c>
      <c r="AU194" s="220">
        <v>1674.44</v>
      </c>
      <c r="AV194" s="220">
        <v>1392.8</v>
      </c>
      <c r="AW194" s="220">
        <v>1444</v>
      </c>
      <c r="AX194" s="220">
        <v>2604.09</v>
      </c>
      <c r="AY194" s="220">
        <v>1723.6</v>
      </c>
      <c r="AZ194" s="229">
        <v>1720.81</v>
      </c>
      <c r="BA194" s="220">
        <v>1142.4000000000001</v>
      </c>
      <c r="BB194" s="220">
        <v>972</v>
      </c>
      <c r="BC194" s="220">
        <v>1404.36</v>
      </c>
      <c r="BD194" s="224">
        <v>972</v>
      </c>
      <c r="BE194" s="220">
        <v>852.3</v>
      </c>
      <c r="BF194" s="220">
        <v>561.6</v>
      </c>
      <c r="BG194" s="220">
        <v>1028.47</v>
      </c>
      <c r="BH194" s="220">
        <v>936.84</v>
      </c>
      <c r="BI194" s="220">
        <v>979.17</v>
      </c>
      <c r="BJ194" s="229">
        <v>755.15</v>
      </c>
      <c r="BK194" s="220">
        <v>444</v>
      </c>
      <c r="BL194" s="220">
        <v>444</v>
      </c>
      <c r="BM194" s="220">
        <v>456.38</v>
      </c>
      <c r="BN194" s="224">
        <v>537.41</v>
      </c>
      <c r="BO194" s="220" t="s">
        <v>386</v>
      </c>
      <c r="BP194" s="220" t="s">
        <v>386</v>
      </c>
      <c r="BQ194" s="220" t="s">
        <v>386</v>
      </c>
      <c r="BR194" s="220" t="s">
        <v>386</v>
      </c>
      <c r="BS194" s="224" t="s">
        <v>386</v>
      </c>
      <c r="BT194" s="220" t="s">
        <v>386</v>
      </c>
      <c r="BU194" s="220" t="s">
        <v>386</v>
      </c>
      <c r="BV194" s="220" t="s">
        <v>386</v>
      </c>
      <c r="BW194" s="220" t="s">
        <v>386</v>
      </c>
      <c r="BX194" s="224" t="s">
        <v>386</v>
      </c>
      <c r="BY194" s="220">
        <v>1666.14</v>
      </c>
      <c r="BZ194" s="220">
        <v>1156</v>
      </c>
      <c r="CA194" s="220">
        <v>1156</v>
      </c>
      <c r="CB194" s="220">
        <v>1570.17</v>
      </c>
      <c r="CC194" s="220">
        <v>1496.36</v>
      </c>
      <c r="CD194" s="229">
        <v>1244.02</v>
      </c>
      <c r="CE194" s="220">
        <v>911.2</v>
      </c>
      <c r="CF194" s="220">
        <v>911.2</v>
      </c>
      <c r="CG194" s="220">
        <v>1140.67</v>
      </c>
      <c r="CH194" s="224">
        <v>1256</v>
      </c>
    </row>
    <row r="195" spans="1:86" ht="15.75" thickBot="1" x14ac:dyDescent="0.3">
      <c r="A195" s="225" t="s">
        <v>304</v>
      </c>
      <c r="B195" s="230">
        <v>30.14</v>
      </c>
      <c r="C195" s="226">
        <v>27.2</v>
      </c>
      <c r="D195" s="226">
        <v>27.04</v>
      </c>
      <c r="E195" s="226">
        <v>47.54</v>
      </c>
      <c r="F195" s="231">
        <v>28.32</v>
      </c>
      <c r="G195" s="366">
        <v>28.5</v>
      </c>
      <c r="H195" s="366">
        <v>33.659999999999997</v>
      </c>
      <c r="I195" s="366">
        <v>38.53</v>
      </c>
      <c r="J195" s="366">
        <v>34</v>
      </c>
      <c r="K195" s="366">
        <v>28.23</v>
      </c>
      <c r="L195" s="230">
        <v>66</v>
      </c>
      <c r="M195" s="226">
        <v>93.04</v>
      </c>
      <c r="N195" s="226">
        <v>138.25</v>
      </c>
      <c r="O195" s="226">
        <v>69</v>
      </c>
      <c r="P195" s="231">
        <v>119.02</v>
      </c>
      <c r="Q195" s="226">
        <v>46.43</v>
      </c>
      <c r="R195" s="226">
        <v>22.7</v>
      </c>
      <c r="S195" s="226">
        <v>32.36</v>
      </c>
      <c r="T195" s="226">
        <v>58.3</v>
      </c>
      <c r="U195" s="226">
        <v>29.39</v>
      </c>
      <c r="V195" s="230">
        <v>62.8</v>
      </c>
      <c r="W195" s="226">
        <v>22.4</v>
      </c>
      <c r="X195" s="226">
        <v>26.66</v>
      </c>
      <c r="Y195" s="226">
        <v>63</v>
      </c>
      <c r="Z195" s="231">
        <v>34.340000000000003</v>
      </c>
      <c r="AA195" s="366">
        <v>15.55</v>
      </c>
      <c r="AB195" s="366">
        <v>10.4</v>
      </c>
      <c r="AC195" s="366">
        <v>9.6</v>
      </c>
      <c r="AD195" s="366">
        <v>9.6</v>
      </c>
      <c r="AE195" s="366">
        <v>9.6</v>
      </c>
      <c r="AF195" s="377" t="s">
        <v>386</v>
      </c>
      <c r="AG195" s="378" t="s">
        <v>386</v>
      </c>
      <c r="AH195" s="378" t="s">
        <v>386</v>
      </c>
      <c r="AI195" s="378" t="s">
        <v>386</v>
      </c>
      <c r="AJ195" s="379" t="s">
        <v>386</v>
      </c>
      <c r="AK195" s="366">
        <v>1560.67</v>
      </c>
      <c r="AL195" s="366">
        <v>906.4</v>
      </c>
      <c r="AM195" s="366">
        <v>949.4</v>
      </c>
      <c r="AN195" s="366">
        <v>1072.0999999999999</v>
      </c>
      <c r="AO195" s="366">
        <v>949.4</v>
      </c>
      <c r="AP195" s="365">
        <v>1407.73</v>
      </c>
      <c r="AQ195" s="366">
        <v>965.57</v>
      </c>
      <c r="AR195" s="366">
        <v>1721.78</v>
      </c>
      <c r="AS195" s="366">
        <v>1721.78</v>
      </c>
      <c r="AT195" s="367">
        <v>1432.35</v>
      </c>
      <c r="AU195" s="226">
        <v>2165.9</v>
      </c>
      <c r="AV195" s="226">
        <v>898.4</v>
      </c>
      <c r="AW195" s="226">
        <v>2063.35</v>
      </c>
      <c r="AX195" s="226">
        <v>2729.06</v>
      </c>
      <c r="AY195" s="226">
        <v>1529.2</v>
      </c>
      <c r="AZ195" s="230">
        <v>1264.3599999999999</v>
      </c>
      <c r="BA195" s="226">
        <v>410.4</v>
      </c>
      <c r="BB195" s="226">
        <v>772.93</v>
      </c>
      <c r="BC195" s="226">
        <v>1060.3</v>
      </c>
      <c r="BD195" s="231">
        <v>644.73</v>
      </c>
      <c r="BE195" s="226">
        <v>940.03</v>
      </c>
      <c r="BF195" s="226">
        <v>660.8</v>
      </c>
      <c r="BG195" s="226">
        <v>660.8</v>
      </c>
      <c r="BH195" s="226">
        <v>885.94</v>
      </c>
      <c r="BI195" s="226">
        <v>815.76</v>
      </c>
      <c r="BJ195" s="365" t="s">
        <v>386</v>
      </c>
      <c r="BK195" s="366" t="s">
        <v>386</v>
      </c>
      <c r="BL195" s="366" t="s">
        <v>386</v>
      </c>
      <c r="BM195" s="366" t="s">
        <v>386</v>
      </c>
      <c r="BN195" s="367" t="s">
        <v>386</v>
      </c>
      <c r="BO195" s="366" t="s">
        <v>386</v>
      </c>
      <c r="BP195" s="366" t="s">
        <v>386</v>
      </c>
      <c r="BQ195" s="366" t="s">
        <v>386</v>
      </c>
      <c r="BR195" s="366" t="s">
        <v>386</v>
      </c>
      <c r="BS195" s="367" t="s">
        <v>386</v>
      </c>
      <c r="BT195" s="366" t="s">
        <v>386</v>
      </c>
      <c r="BU195" s="366" t="s">
        <v>386</v>
      </c>
      <c r="BV195" s="366" t="s">
        <v>386</v>
      </c>
      <c r="BW195" s="366" t="s">
        <v>386</v>
      </c>
      <c r="BX195" s="367" t="s">
        <v>386</v>
      </c>
      <c r="BY195" s="366" t="s">
        <v>386</v>
      </c>
      <c r="BZ195" s="366" t="s">
        <v>386</v>
      </c>
      <c r="CA195" s="366" t="s">
        <v>386</v>
      </c>
      <c r="CB195" s="366" t="s">
        <v>386</v>
      </c>
      <c r="CC195" s="366" t="s">
        <v>386</v>
      </c>
      <c r="CD195" s="365" t="s">
        <v>386</v>
      </c>
      <c r="CE195" s="366" t="s">
        <v>386</v>
      </c>
      <c r="CF195" s="366" t="s">
        <v>386</v>
      </c>
      <c r="CG195" s="366" t="s">
        <v>386</v>
      </c>
      <c r="CH195" s="367" t="s">
        <v>386</v>
      </c>
    </row>
    <row r="196" spans="1:86" x14ac:dyDescent="0.25">
      <c r="A196" s="223" t="s">
        <v>305</v>
      </c>
      <c r="B196" s="229">
        <v>80.17</v>
      </c>
      <c r="C196" s="220">
        <v>50.089999999999996</v>
      </c>
      <c r="D196" s="220">
        <v>65.22999999999999</v>
      </c>
      <c r="E196" s="220">
        <v>43.34</v>
      </c>
      <c r="F196" s="224">
        <v>91.13</v>
      </c>
      <c r="G196" s="220">
        <v>49.839999999999996</v>
      </c>
      <c r="H196" s="220">
        <v>37.830000000000005</v>
      </c>
      <c r="I196" s="220">
        <v>34.159999999999997</v>
      </c>
      <c r="J196" s="220">
        <v>36.43</v>
      </c>
      <c r="K196" s="220">
        <v>43.08</v>
      </c>
      <c r="L196" s="229">
        <v>185.70000000000002</v>
      </c>
      <c r="M196" s="220">
        <v>124.76</v>
      </c>
      <c r="N196" s="220">
        <v>106.60000000000001</v>
      </c>
      <c r="O196" s="220">
        <v>130.35999999999999</v>
      </c>
      <c r="P196" s="224">
        <v>166.12</v>
      </c>
      <c r="Q196" s="220">
        <v>42.3</v>
      </c>
      <c r="R196" s="220">
        <v>40</v>
      </c>
      <c r="S196" s="220">
        <v>46.5</v>
      </c>
      <c r="T196" s="220">
        <v>47.3</v>
      </c>
      <c r="U196" s="220">
        <v>41.8</v>
      </c>
      <c r="V196" s="229">
        <v>87.16</v>
      </c>
      <c r="W196" s="220">
        <v>60.8</v>
      </c>
      <c r="X196" s="220">
        <v>68.459999999999994</v>
      </c>
      <c r="Y196" s="220">
        <v>60.8</v>
      </c>
      <c r="Z196" s="224">
        <v>90.24</v>
      </c>
      <c r="AA196" s="363" t="s">
        <v>386</v>
      </c>
      <c r="AB196" s="363" t="s">
        <v>386</v>
      </c>
      <c r="AC196" s="363" t="s">
        <v>386</v>
      </c>
      <c r="AD196" s="363" t="s">
        <v>386</v>
      </c>
      <c r="AE196" s="363" t="s">
        <v>386</v>
      </c>
      <c r="AF196" s="229">
        <v>94.259999999999991</v>
      </c>
      <c r="AG196" s="220">
        <v>96.929999999999993</v>
      </c>
      <c r="AH196" s="220">
        <v>92.79</v>
      </c>
      <c r="AI196" s="220">
        <v>114.34</v>
      </c>
      <c r="AJ196" s="224">
        <v>107.36999999999999</v>
      </c>
      <c r="AK196" s="363" t="s">
        <v>386</v>
      </c>
      <c r="AL196" s="363" t="s">
        <v>386</v>
      </c>
      <c r="AM196" s="363" t="s">
        <v>386</v>
      </c>
      <c r="AN196" s="363" t="s">
        <v>386</v>
      </c>
      <c r="AO196" s="363" t="s">
        <v>386</v>
      </c>
      <c r="AP196" s="229">
        <v>2612.84</v>
      </c>
      <c r="AQ196" s="220">
        <v>2970.2</v>
      </c>
      <c r="AR196" s="220">
        <v>2690.56</v>
      </c>
      <c r="AS196" s="220">
        <v>2726.92</v>
      </c>
      <c r="AT196" s="224">
        <v>2320.2800000000002</v>
      </c>
      <c r="AU196" s="363" t="s">
        <v>386</v>
      </c>
      <c r="AV196" s="363" t="s">
        <v>386</v>
      </c>
      <c r="AW196" s="363" t="s">
        <v>386</v>
      </c>
      <c r="AX196" s="363" t="s">
        <v>386</v>
      </c>
      <c r="AY196" s="363" t="s">
        <v>386</v>
      </c>
      <c r="AZ196" s="374" t="s">
        <v>386</v>
      </c>
      <c r="BA196" s="375" t="s">
        <v>386</v>
      </c>
      <c r="BB196" s="375" t="s">
        <v>386</v>
      </c>
      <c r="BC196" s="375" t="s">
        <v>386</v>
      </c>
      <c r="BD196" s="376" t="s">
        <v>386</v>
      </c>
      <c r="BE196" s="363" t="s">
        <v>386</v>
      </c>
      <c r="BF196" s="363" t="s">
        <v>386</v>
      </c>
      <c r="BG196" s="363" t="s">
        <v>386</v>
      </c>
      <c r="BH196" s="363" t="s">
        <v>386</v>
      </c>
      <c r="BI196" s="363" t="s">
        <v>386</v>
      </c>
      <c r="BJ196" s="374" t="s">
        <v>386</v>
      </c>
      <c r="BK196" s="375" t="s">
        <v>386</v>
      </c>
      <c r="BL196" s="375" t="s">
        <v>386</v>
      </c>
      <c r="BM196" s="375" t="s">
        <v>386</v>
      </c>
      <c r="BN196" s="376" t="s">
        <v>386</v>
      </c>
      <c r="BO196" s="375" t="s">
        <v>386</v>
      </c>
      <c r="BP196" s="375" t="s">
        <v>386</v>
      </c>
      <c r="BQ196" s="375" t="s">
        <v>386</v>
      </c>
      <c r="BR196" s="375" t="s">
        <v>386</v>
      </c>
      <c r="BS196" s="376" t="s">
        <v>386</v>
      </c>
      <c r="BT196" s="363" t="s">
        <v>386</v>
      </c>
      <c r="BU196" s="363" t="s">
        <v>386</v>
      </c>
      <c r="BV196" s="363" t="s">
        <v>386</v>
      </c>
      <c r="BW196" s="363" t="s">
        <v>386</v>
      </c>
      <c r="BX196" s="364" t="s">
        <v>386</v>
      </c>
      <c r="BY196" s="363" t="s">
        <v>386</v>
      </c>
      <c r="BZ196" s="363" t="s">
        <v>386</v>
      </c>
      <c r="CA196" s="363" t="s">
        <v>386</v>
      </c>
      <c r="CB196" s="363" t="s">
        <v>386</v>
      </c>
      <c r="CC196" s="363" t="s">
        <v>386</v>
      </c>
      <c r="CD196" s="374" t="s">
        <v>386</v>
      </c>
      <c r="CE196" s="375" t="s">
        <v>386</v>
      </c>
      <c r="CF196" s="375" t="s">
        <v>386</v>
      </c>
      <c r="CG196" s="375" t="s">
        <v>386</v>
      </c>
      <c r="CH196" s="376" t="s">
        <v>386</v>
      </c>
    </row>
    <row r="197" spans="1:86" x14ac:dyDescent="0.25">
      <c r="A197" s="223" t="s">
        <v>306</v>
      </c>
      <c r="B197" s="229">
        <v>62.949999999999996</v>
      </c>
      <c r="C197" s="220">
        <v>51.74</v>
      </c>
      <c r="D197" s="220">
        <v>61.97</v>
      </c>
      <c r="E197" s="220">
        <v>44.26</v>
      </c>
      <c r="F197" s="224">
        <v>66.53</v>
      </c>
      <c r="G197" s="220">
        <v>52.06</v>
      </c>
      <c r="H197" s="220">
        <v>39.5</v>
      </c>
      <c r="I197" s="220">
        <v>35.5</v>
      </c>
      <c r="J197" s="220">
        <v>39.65</v>
      </c>
      <c r="K197" s="220">
        <v>45.09</v>
      </c>
      <c r="L197" s="229">
        <v>194.07</v>
      </c>
      <c r="M197" s="220">
        <v>135.38</v>
      </c>
      <c r="N197" s="220">
        <v>136.81</v>
      </c>
      <c r="O197" s="220">
        <v>129.79</v>
      </c>
      <c r="P197" s="224">
        <v>170.39000000000001</v>
      </c>
      <c r="Q197" s="220">
        <v>54.2</v>
      </c>
      <c r="R197" s="220">
        <v>40.799999999999997</v>
      </c>
      <c r="S197" s="220">
        <v>64</v>
      </c>
      <c r="T197" s="220">
        <v>58.5</v>
      </c>
      <c r="U197" s="220">
        <v>62.8</v>
      </c>
      <c r="V197" s="229">
        <v>110.09</v>
      </c>
      <c r="W197" s="220">
        <v>68.8</v>
      </c>
      <c r="X197" s="220">
        <v>89.5</v>
      </c>
      <c r="Y197" s="220">
        <v>68.8</v>
      </c>
      <c r="Z197" s="224">
        <v>102.29</v>
      </c>
      <c r="AA197" s="363" t="s">
        <v>386</v>
      </c>
      <c r="AB197" s="363" t="s">
        <v>386</v>
      </c>
      <c r="AC197" s="363" t="s">
        <v>386</v>
      </c>
      <c r="AD197" s="363" t="s">
        <v>386</v>
      </c>
      <c r="AE197" s="363" t="s">
        <v>386</v>
      </c>
      <c r="AF197" s="229">
        <v>97.02</v>
      </c>
      <c r="AG197" s="220">
        <v>74</v>
      </c>
      <c r="AH197" s="220">
        <v>86.78</v>
      </c>
      <c r="AI197" s="220">
        <v>99.559999999999988</v>
      </c>
      <c r="AJ197" s="224">
        <v>102.92</v>
      </c>
      <c r="AK197" s="363" t="s">
        <v>386</v>
      </c>
      <c r="AL197" s="363" t="s">
        <v>386</v>
      </c>
      <c r="AM197" s="363" t="s">
        <v>386</v>
      </c>
      <c r="AN197" s="363" t="s">
        <v>386</v>
      </c>
      <c r="AO197" s="363" t="s">
        <v>386</v>
      </c>
      <c r="AP197" s="229">
        <v>2060.84</v>
      </c>
      <c r="AQ197" s="220">
        <v>2416.1999999999998</v>
      </c>
      <c r="AR197" s="220">
        <v>2786.56</v>
      </c>
      <c r="AS197" s="220">
        <v>2518.92</v>
      </c>
      <c r="AT197" s="224">
        <v>1979.28</v>
      </c>
      <c r="AU197" s="220">
        <v>2218</v>
      </c>
      <c r="AV197" s="220">
        <v>1608</v>
      </c>
      <c r="AW197" s="220">
        <v>2264</v>
      </c>
      <c r="AX197" s="220">
        <v>2529</v>
      </c>
      <c r="AY197" s="220">
        <v>2475</v>
      </c>
      <c r="AZ197" s="374" t="s">
        <v>386</v>
      </c>
      <c r="BA197" s="375" t="s">
        <v>386</v>
      </c>
      <c r="BB197" s="375" t="s">
        <v>386</v>
      </c>
      <c r="BC197" s="375" t="s">
        <v>386</v>
      </c>
      <c r="BD197" s="376" t="s">
        <v>386</v>
      </c>
      <c r="BE197" s="363" t="s">
        <v>386</v>
      </c>
      <c r="BF197" s="363" t="s">
        <v>386</v>
      </c>
      <c r="BG197" s="363" t="s">
        <v>386</v>
      </c>
      <c r="BH197" s="363" t="s">
        <v>386</v>
      </c>
      <c r="BI197" s="363" t="s">
        <v>386</v>
      </c>
      <c r="BJ197" s="374" t="s">
        <v>386</v>
      </c>
      <c r="BK197" s="375" t="s">
        <v>386</v>
      </c>
      <c r="BL197" s="375" t="s">
        <v>386</v>
      </c>
      <c r="BM197" s="375" t="s">
        <v>386</v>
      </c>
      <c r="BN197" s="376" t="s">
        <v>386</v>
      </c>
      <c r="BO197" s="375" t="s">
        <v>386</v>
      </c>
      <c r="BP197" s="375" t="s">
        <v>386</v>
      </c>
      <c r="BQ197" s="375" t="s">
        <v>386</v>
      </c>
      <c r="BR197" s="375" t="s">
        <v>386</v>
      </c>
      <c r="BS197" s="376" t="s">
        <v>386</v>
      </c>
      <c r="BT197" s="363" t="s">
        <v>386</v>
      </c>
      <c r="BU197" s="363" t="s">
        <v>386</v>
      </c>
      <c r="BV197" s="363" t="s">
        <v>386</v>
      </c>
      <c r="BW197" s="363" t="s">
        <v>386</v>
      </c>
      <c r="BX197" s="364" t="s">
        <v>386</v>
      </c>
      <c r="BY197" s="363" t="s">
        <v>386</v>
      </c>
      <c r="BZ197" s="363" t="s">
        <v>386</v>
      </c>
      <c r="CA197" s="363" t="s">
        <v>386</v>
      </c>
      <c r="CB197" s="363" t="s">
        <v>386</v>
      </c>
      <c r="CC197" s="363" t="s">
        <v>386</v>
      </c>
      <c r="CD197" s="374" t="s">
        <v>386</v>
      </c>
      <c r="CE197" s="375" t="s">
        <v>386</v>
      </c>
      <c r="CF197" s="375" t="s">
        <v>386</v>
      </c>
      <c r="CG197" s="375" t="s">
        <v>386</v>
      </c>
      <c r="CH197" s="376" t="s">
        <v>386</v>
      </c>
    </row>
    <row r="198" spans="1:86" x14ac:dyDescent="0.25">
      <c r="A198" s="223" t="s">
        <v>307</v>
      </c>
      <c r="B198" s="229">
        <v>38.96</v>
      </c>
      <c r="C198" s="220">
        <v>30.44</v>
      </c>
      <c r="D198" s="220">
        <v>31.09</v>
      </c>
      <c r="E198" s="220">
        <v>27.810000000000002</v>
      </c>
      <c r="F198" s="224">
        <v>40.340000000000003</v>
      </c>
      <c r="G198" s="220">
        <v>23.32</v>
      </c>
      <c r="H198" s="220">
        <v>14.49</v>
      </c>
      <c r="I198" s="220">
        <v>19.95</v>
      </c>
      <c r="J198" s="220">
        <v>23.54</v>
      </c>
      <c r="K198" s="220">
        <v>13.6</v>
      </c>
      <c r="L198" s="229">
        <v>70.59</v>
      </c>
      <c r="M198" s="220">
        <v>66.400000000000006</v>
      </c>
      <c r="N198" s="220">
        <v>66.400000000000006</v>
      </c>
      <c r="O198" s="220">
        <v>122.56</v>
      </c>
      <c r="P198" s="224">
        <v>69.349999999999994</v>
      </c>
      <c r="Q198" s="220">
        <v>32.9</v>
      </c>
      <c r="R198" s="220">
        <v>23.2</v>
      </c>
      <c r="S198" s="220">
        <v>29.4</v>
      </c>
      <c r="T198" s="220">
        <v>40.1</v>
      </c>
      <c r="U198" s="220">
        <v>28.1</v>
      </c>
      <c r="V198" s="229">
        <v>66.48</v>
      </c>
      <c r="W198" s="220">
        <v>57.37</v>
      </c>
      <c r="X198" s="220">
        <v>30.97</v>
      </c>
      <c r="Y198" s="220">
        <v>100.82</v>
      </c>
      <c r="Z198" s="224">
        <v>73.88</v>
      </c>
      <c r="AA198" s="363" t="s">
        <v>386</v>
      </c>
      <c r="AB198" s="363" t="s">
        <v>386</v>
      </c>
      <c r="AC198" s="363" t="s">
        <v>386</v>
      </c>
      <c r="AD198" s="363" t="s">
        <v>386</v>
      </c>
      <c r="AE198" s="363" t="s">
        <v>386</v>
      </c>
      <c r="AF198" s="229">
        <v>42.4</v>
      </c>
      <c r="AG198" s="220">
        <v>42.4</v>
      </c>
      <c r="AH198" s="220">
        <v>42.4</v>
      </c>
      <c r="AI198" s="220">
        <v>61.45</v>
      </c>
      <c r="AJ198" s="224">
        <v>34.4</v>
      </c>
      <c r="AK198" s="363" t="s">
        <v>386</v>
      </c>
      <c r="AL198" s="363" t="s">
        <v>386</v>
      </c>
      <c r="AM198" s="363" t="s">
        <v>386</v>
      </c>
      <c r="AN198" s="363" t="s">
        <v>386</v>
      </c>
      <c r="AO198" s="363" t="s">
        <v>386</v>
      </c>
      <c r="AP198" s="229">
        <v>1826.25</v>
      </c>
      <c r="AQ198" s="220">
        <v>1737.51</v>
      </c>
      <c r="AR198" s="220">
        <v>1386.52</v>
      </c>
      <c r="AS198" s="220">
        <v>1996.19</v>
      </c>
      <c r="AT198" s="224">
        <v>1422.63</v>
      </c>
      <c r="AU198" s="220">
        <v>1690</v>
      </c>
      <c r="AV198" s="220">
        <v>902</v>
      </c>
      <c r="AW198" s="220">
        <v>1522</v>
      </c>
      <c r="AX198" s="220">
        <v>3042.05</v>
      </c>
      <c r="AY198" s="220">
        <v>1729</v>
      </c>
      <c r="AZ198" s="374" t="s">
        <v>386</v>
      </c>
      <c r="BA198" s="375" t="s">
        <v>386</v>
      </c>
      <c r="BB198" s="375" t="s">
        <v>386</v>
      </c>
      <c r="BC198" s="375" t="s">
        <v>386</v>
      </c>
      <c r="BD198" s="376" t="s">
        <v>386</v>
      </c>
      <c r="BE198" s="363" t="s">
        <v>386</v>
      </c>
      <c r="BF198" s="363" t="s">
        <v>386</v>
      </c>
      <c r="BG198" s="363" t="s">
        <v>386</v>
      </c>
      <c r="BH198" s="363" t="s">
        <v>386</v>
      </c>
      <c r="BI198" s="363" t="s">
        <v>386</v>
      </c>
      <c r="BJ198" s="374" t="s">
        <v>386</v>
      </c>
      <c r="BK198" s="375" t="s">
        <v>386</v>
      </c>
      <c r="BL198" s="375" t="s">
        <v>386</v>
      </c>
      <c r="BM198" s="375" t="s">
        <v>386</v>
      </c>
      <c r="BN198" s="376" t="s">
        <v>386</v>
      </c>
      <c r="BO198" s="375" t="s">
        <v>386</v>
      </c>
      <c r="BP198" s="375" t="s">
        <v>386</v>
      </c>
      <c r="BQ198" s="375" t="s">
        <v>386</v>
      </c>
      <c r="BR198" s="375" t="s">
        <v>386</v>
      </c>
      <c r="BS198" s="376" t="s">
        <v>386</v>
      </c>
      <c r="BT198" s="363" t="s">
        <v>386</v>
      </c>
      <c r="BU198" s="363" t="s">
        <v>386</v>
      </c>
      <c r="BV198" s="363" t="s">
        <v>386</v>
      </c>
      <c r="BW198" s="363" t="s">
        <v>386</v>
      </c>
      <c r="BX198" s="364" t="s">
        <v>386</v>
      </c>
      <c r="BY198" s="363">
        <v>1690</v>
      </c>
      <c r="BZ198" s="363">
        <v>902</v>
      </c>
      <c r="CA198" s="363">
        <v>1522</v>
      </c>
      <c r="CB198" s="363">
        <v>2319</v>
      </c>
      <c r="CC198" s="363">
        <v>1729</v>
      </c>
      <c r="CD198" s="383">
        <v>1690</v>
      </c>
      <c r="CE198" s="384">
        <v>902</v>
      </c>
      <c r="CF198" s="384">
        <v>1522</v>
      </c>
      <c r="CG198" s="384">
        <v>2319</v>
      </c>
      <c r="CH198" s="385">
        <v>1729</v>
      </c>
    </row>
    <row r="199" spans="1:86" x14ac:dyDescent="0.25">
      <c r="A199" s="223" t="s">
        <v>308</v>
      </c>
      <c r="B199" s="229">
        <v>71.649999999999991</v>
      </c>
      <c r="C199" s="220">
        <v>66.180000000000007</v>
      </c>
      <c r="D199" s="220">
        <v>52.089999999999996</v>
      </c>
      <c r="E199" s="220">
        <v>46.04</v>
      </c>
      <c r="F199" s="224">
        <v>90.21</v>
      </c>
      <c r="G199" s="220">
        <v>50</v>
      </c>
      <c r="H199" s="220">
        <v>40.43</v>
      </c>
      <c r="I199" s="220">
        <v>36</v>
      </c>
      <c r="J199" s="220">
        <v>45.650000000000006</v>
      </c>
      <c r="K199" s="220">
        <v>42.33</v>
      </c>
      <c r="L199" s="229">
        <v>193.64</v>
      </c>
      <c r="M199" s="220">
        <v>129.19</v>
      </c>
      <c r="N199" s="220">
        <v>117.36</v>
      </c>
      <c r="O199" s="220">
        <v>166.51</v>
      </c>
      <c r="P199" s="224">
        <v>167.42</v>
      </c>
      <c r="Q199" s="220">
        <v>42.3</v>
      </c>
      <c r="R199" s="220">
        <v>35.200000000000003</v>
      </c>
      <c r="S199" s="220">
        <v>46.5</v>
      </c>
      <c r="T199" s="220">
        <v>47.3</v>
      </c>
      <c r="U199" s="220">
        <v>41.8</v>
      </c>
      <c r="V199" s="229">
        <v>76.400000000000006</v>
      </c>
      <c r="W199" s="220">
        <v>58.4</v>
      </c>
      <c r="X199" s="220">
        <v>79</v>
      </c>
      <c r="Y199" s="220">
        <v>65.599999999999994</v>
      </c>
      <c r="Z199" s="224">
        <v>64.62</v>
      </c>
      <c r="AA199" s="363" t="s">
        <v>386</v>
      </c>
      <c r="AB199" s="363" t="s">
        <v>386</v>
      </c>
      <c r="AC199" s="363" t="s">
        <v>386</v>
      </c>
      <c r="AD199" s="363" t="s">
        <v>386</v>
      </c>
      <c r="AE199" s="363" t="s">
        <v>386</v>
      </c>
      <c r="AF199" s="229">
        <v>94.1</v>
      </c>
      <c r="AG199" s="220">
        <v>72.099999999999994</v>
      </c>
      <c r="AH199" s="220">
        <v>87.4</v>
      </c>
      <c r="AI199" s="220">
        <v>95.8</v>
      </c>
      <c r="AJ199" s="224">
        <v>103.85</v>
      </c>
      <c r="AK199" s="363" t="s">
        <v>386</v>
      </c>
      <c r="AL199" s="363" t="s">
        <v>386</v>
      </c>
      <c r="AM199" s="363" t="s">
        <v>386</v>
      </c>
      <c r="AN199" s="363" t="s">
        <v>386</v>
      </c>
      <c r="AO199" s="363" t="s">
        <v>386</v>
      </c>
      <c r="AP199" s="362" t="s">
        <v>386</v>
      </c>
      <c r="AQ199" s="363" t="s">
        <v>386</v>
      </c>
      <c r="AR199" s="363" t="s">
        <v>386</v>
      </c>
      <c r="AS199" s="363" t="s">
        <v>386</v>
      </c>
      <c r="AT199" s="364" t="s">
        <v>386</v>
      </c>
      <c r="AU199" s="363" t="s">
        <v>386</v>
      </c>
      <c r="AV199" s="363" t="s">
        <v>386</v>
      </c>
      <c r="AW199" s="363" t="s">
        <v>386</v>
      </c>
      <c r="AX199" s="363" t="s">
        <v>386</v>
      </c>
      <c r="AY199" s="363" t="s">
        <v>386</v>
      </c>
      <c r="AZ199" s="374" t="s">
        <v>386</v>
      </c>
      <c r="BA199" s="375" t="s">
        <v>386</v>
      </c>
      <c r="BB199" s="375" t="s">
        <v>386</v>
      </c>
      <c r="BC199" s="375" t="s">
        <v>386</v>
      </c>
      <c r="BD199" s="376" t="s">
        <v>386</v>
      </c>
      <c r="BE199" s="363" t="s">
        <v>386</v>
      </c>
      <c r="BF199" s="363" t="s">
        <v>386</v>
      </c>
      <c r="BG199" s="363" t="s">
        <v>386</v>
      </c>
      <c r="BH199" s="363" t="s">
        <v>386</v>
      </c>
      <c r="BI199" s="363" t="s">
        <v>386</v>
      </c>
      <c r="BJ199" s="374" t="s">
        <v>386</v>
      </c>
      <c r="BK199" s="375" t="s">
        <v>386</v>
      </c>
      <c r="BL199" s="375" t="s">
        <v>386</v>
      </c>
      <c r="BM199" s="375" t="s">
        <v>386</v>
      </c>
      <c r="BN199" s="376" t="s">
        <v>386</v>
      </c>
      <c r="BO199" s="375" t="s">
        <v>386</v>
      </c>
      <c r="BP199" s="375" t="s">
        <v>386</v>
      </c>
      <c r="BQ199" s="375" t="s">
        <v>386</v>
      </c>
      <c r="BR199" s="375" t="s">
        <v>386</v>
      </c>
      <c r="BS199" s="376" t="s">
        <v>386</v>
      </c>
      <c r="BT199" s="363" t="s">
        <v>386</v>
      </c>
      <c r="BU199" s="363" t="s">
        <v>386</v>
      </c>
      <c r="BV199" s="363" t="s">
        <v>386</v>
      </c>
      <c r="BW199" s="363" t="s">
        <v>386</v>
      </c>
      <c r="BX199" s="364" t="s">
        <v>386</v>
      </c>
      <c r="BY199" s="363" t="s">
        <v>386</v>
      </c>
      <c r="BZ199" s="363" t="s">
        <v>386</v>
      </c>
      <c r="CA199" s="363" t="s">
        <v>386</v>
      </c>
      <c r="CB199" s="363" t="s">
        <v>386</v>
      </c>
      <c r="CC199" s="363" t="s">
        <v>386</v>
      </c>
      <c r="CD199" s="374" t="s">
        <v>386</v>
      </c>
      <c r="CE199" s="375" t="s">
        <v>386</v>
      </c>
      <c r="CF199" s="375" t="s">
        <v>386</v>
      </c>
      <c r="CG199" s="375" t="s">
        <v>386</v>
      </c>
      <c r="CH199" s="376" t="s">
        <v>386</v>
      </c>
    </row>
    <row r="200" spans="1:86" x14ac:dyDescent="0.25">
      <c r="A200" s="223" t="s">
        <v>309</v>
      </c>
      <c r="B200" s="229">
        <v>55.8</v>
      </c>
      <c r="C200" s="220">
        <v>49.46</v>
      </c>
      <c r="D200" s="220">
        <v>58.13</v>
      </c>
      <c r="E200" s="220">
        <v>54.05</v>
      </c>
      <c r="F200" s="224">
        <v>58.489999999999995</v>
      </c>
      <c r="G200" s="220">
        <v>55.379999999999995</v>
      </c>
      <c r="H200" s="220">
        <v>49.67</v>
      </c>
      <c r="I200" s="220">
        <v>49.88</v>
      </c>
      <c r="J200" s="220">
        <v>51.71</v>
      </c>
      <c r="K200" s="220">
        <v>53.370000000000005</v>
      </c>
      <c r="L200" s="229">
        <v>212.61</v>
      </c>
      <c r="M200" s="220">
        <v>172.14</v>
      </c>
      <c r="N200" s="220">
        <v>189.78</v>
      </c>
      <c r="O200" s="220">
        <v>188.78</v>
      </c>
      <c r="P200" s="224">
        <v>201.65</v>
      </c>
      <c r="Q200" s="220">
        <v>42.3</v>
      </c>
      <c r="R200" s="220">
        <v>38.4</v>
      </c>
      <c r="S200" s="220">
        <v>50</v>
      </c>
      <c r="T200" s="220">
        <v>46.4</v>
      </c>
      <c r="U200" s="220">
        <v>45.2</v>
      </c>
      <c r="V200" s="229">
        <v>78.400000000000006</v>
      </c>
      <c r="W200" s="220">
        <v>94.02</v>
      </c>
      <c r="X200" s="220">
        <v>113.61</v>
      </c>
      <c r="Y200" s="220">
        <v>82.4</v>
      </c>
      <c r="Z200" s="224">
        <v>102.4</v>
      </c>
      <c r="AA200" s="220">
        <v>17</v>
      </c>
      <c r="AB200" s="220">
        <v>12</v>
      </c>
      <c r="AC200" s="220">
        <v>12.2</v>
      </c>
      <c r="AD200" s="220">
        <v>14.7</v>
      </c>
      <c r="AE200" s="220">
        <v>15.4</v>
      </c>
      <c r="AF200" s="229">
        <v>92</v>
      </c>
      <c r="AG200" s="220">
        <v>81.3</v>
      </c>
      <c r="AH200" s="220">
        <v>87.4</v>
      </c>
      <c r="AI200" s="220">
        <v>101</v>
      </c>
      <c r="AJ200" s="224">
        <v>109.4</v>
      </c>
      <c r="AK200" s="220">
        <v>1721</v>
      </c>
      <c r="AL200" s="220">
        <v>1455</v>
      </c>
      <c r="AM200" s="220">
        <v>2148.4499999999998</v>
      </c>
      <c r="AN200" s="220">
        <v>2213.44</v>
      </c>
      <c r="AO200" s="220">
        <v>1969.88</v>
      </c>
      <c r="AP200" s="229">
        <v>1951</v>
      </c>
      <c r="AQ200" s="220">
        <v>2261</v>
      </c>
      <c r="AR200" s="220">
        <v>2535</v>
      </c>
      <c r="AS200" s="220">
        <v>2314</v>
      </c>
      <c r="AT200" s="224">
        <v>1945</v>
      </c>
      <c r="AU200" s="363" t="s">
        <v>386</v>
      </c>
      <c r="AV200" s="363" t="s">
        <v>386</v>
      </c>
      <c r="AW200" s="363" t="s">
        <v>386</v>
      </c>
      <c r="AX200" s="363" t="s">
        <v>386</v>
      </c>
      <c r="AY200" s="363" t="s">
        <v>386</v>
      </c>
      <c r="AZ200" s="374" t="s">
        <v>386</v>
      </c>
      <c r="BA200" s="375" t="s">
        <v>386</v>
      </c>
      <c r="BB200" s="375" t="s">
        <v>386</v>
      </c>
      <c r="BC200" s="375" t="s">
        <v>386</v>
      </c>
      <c r="BD200" s="376" t="s">
        <v>386</v>
      </c>
      <c r="BE200" s="363" t="s">
        <v>386</v>
      </c>
      <c r="BF200" s="363" t="s">
        <v>386</v>
      </c>
      <c r="BG200" s="363" t="s">
        <v>386</v>
      </c>
      <c r="BH200" s="363" t="s">
        <v>386</v>
      </c>
      <c r="BI200" s="363" t="s">
        <v>386</v>
      </c>
      <c r="BJ200" s="374" t="s">
        <v>386</v>
      </c>
      <c r="BK200" s="375" t="s">
        <v>386</v>
      </c>
      <c r="BL200" s="375" t="s">
        <v>386</v>
      </c>
      <c r="BM200" s="375" t="s">
        <v>386</v>
      </c>
      <c r="BN200" s="376" t="s">
        <v>386</v>
      </c>
      <c r="BO200" s="375" t="s">
        <v>386</v>
      </c>
      <c r="BP200" s="375" t="s">
        <v>386</v>
      </c>
      <c r="BQ200" s="375" t="s">
        <v>386</v>
      </c>
      <c r="BR200" s="375" t="s">
        <v>386</v>
      </c>
      <c r="BS200" s="376" t="s">
        <v>386</v>
      </c>
      <c r="BT200" s="363" t="s">
        <v>386</v>
      </c>
      <c r="BU200" s="363" t="s">
        <v>386</v>
      </c>
      <c r="BV200" s="363" t="s">
        <v>386</v>
      </c>
      <c r="BW200" s="363" t="s">
        <v>386</v>
      </c>
      <c r="BX200" s="364" t="s">
        <v>386</v>
      </c>
      <c r="BY200" s="363">
        <v>2102</v>
      </c>
      <c r="BZ200" s="363">
        <v>1105.17</v>
      </c>
      <c r="CA200" s="363">
        <v>1656.92</v>
      </c>
      <c r="CB200" s="363">
        <v>1623.02</v>
      </c>
      <c r="CC200" s="363">
        <v>1906.37</v>
      </c>
      <c r="CD200" s="374" t="s">
        <v>386</v>
      </c>
      <c r="CE200" s="375" t="s">
        <v>386</v>
      </c>
      <c r="CF200" s="375" t="s">
        <v>386</v>
      </c>
      <c r="CG200" s="375" t="s">
        <v>386</v>
      </c>
      <c r="CH200" s="376" t="s">
        <v>386</v>
      </c>
    </row>
    <row r="201" spans="1:86" x14ac:dyDescent="0.25">
      <c r="A201" s="223" t="s">
        <v>310</v>
      </c>
      <c r="B201" s="229">
        <v>68.53</v>
      </c>
      <c r="C201" s="220">
        <v>44.1</v>
      </c>
      <c r="D201" s="220">
        <v>54.5</v>
      </c>
      <c r="E201" s="220">
        <v>56.63</v>
      </c>
      <c r="F201" s="224">
        <v>65.42</v>
      </c>
      <c r="G201" s="220">
        <v>50.03</v>
      </c>
      <c r="H201" s="220">
        <v>42.18</v>
      </c>
      <c r="I201" s="220">
        <v>52.41</v>
      </c>
      <c r="J201" s="220">
        <v>56.44</v>
      </c>
      <c r="K201" s="220">
        <v>47.49</v>
      </c>
      <c r="L201" s="229">
        <v>195.57000000000002</v>
      </c>
      <c r="M201" s="220">
        <v>171.54999999999998</v>
      </c>
      <c r="N201" s="220">
        <v>196.73000000000002</v>
      </c>
      <c r="O201" s="220">
        <v>206.73999999999998</v>
      </c>
      <c r="P201" s="224">
        <v>201.92000000000002</v>
      </c>
      <c r="Q201" s="220">
        <v>56.3</v>
      </c>
      <c r="R201" s="220">
        <v>37.6</v>
      </c>
      <c r="S201" s="220">
        <v>68.400000000000006</v>
      </c>
      <c r="T201" s="220">
        <v>57.9</v>
      </c>
      <c r="U201" s="220">
        <v>70.599999999999994</v>
      </c>
      <c r="V201" s="229">
        <v>103.6</v>
      </c>
      <c r="W201" s="220">
        <v>62.4</v>
      </c>
      <c r="X201" s="220">
        <v>96.95</v>
      </c>
      <c r="Y201" s="220">
        <v>75.84</v>
      </c>
      <c r="Z201" s="224">
        <v>87.53</v>
      </c>
      <c r="AA201" s="220">
        <v>18</v>
      </c>
      <c r="AB201" s="220">
        <v>11.2</v>
      </c>
      <c r="AC201" s="220">
        <v>14.9</v>
      </c>
      <c r="AD201" s="220">
        <v>14.2</v>
      </c>
      <c r="AE201" s="220">
        <v>16.399999999999999</v>
      </c>
      <c r="AF201" s="229">
        <v>90</v>
      </c>
      <c r="AG201" s="220">
        <v>68.599999999999994</v>
      </c>
      <c r="AH201" s="220">
        <v>78</v>
      </c>
      <c r="AI201" s="220">
        <v>97.2</v>
      </c>
      <c r="AJ201" s="224">
        <v>100.9</v>
      </c>
      <c r="AK201" s="363" t="s">
        <v>386</v>
      </c>
      <c r="AL201" s="363" t="s">
        <v>386</v>
      </c>
      <c r="AM201" s="363" t="s">
        <v>386</v>
      </c>
      <c r="AN201" s="363" t="s">
        <v>386</v>
      </c>
      <c r="AO201" s="363" t="s">
        <v>386</v>
      </c>
      <c r="AP201" s="229">
        <v>2713.21</v>
      </c>
      <c r="AQ201" s="220">
        <v>1995.95</v>
      </c>
      <c r="AR201" s="220">
        <v>2743.76</v>
      </c>
      <c r="AS201" s="220">
        <v>2525.5700000000002</v>
      </c>
      <c r="AT201" s="224">
        <v>1893.38</v>
      </c>
      <c r="AU201" s="363" t="s">
        <v>386</v>
      </c>
      <c r="AV201" s="363" t="s">
        <v>386</v>
      </c>
      <c r="AW201" s="363" t="s">
        <v>386</v>
      </c>
      <c r="AX201" s="363" t="s">
        <v>386</v>
      </c>
      <c r="AY201" s="363" t="s">
        <v>386</v>
      </c>
      <c r="AZ201" s="374" t="s">
        <v>386</v>
      </c>
      <c r="BA201" s="375" t="s">
        <v>386</v>
      </c>
      <c r="BB201" s="375" t="s">
        <v>386</v>
      </c>
      <c r="BC201" s="375" t="s">
        <v>386</v>
      </c>
      <c r="BD201" s="376" t="s">
        <v>386</v>
      </c>
      <c r="BE201" s="363" t="s">
        <v>386</v>
      </c>
      <c r="BF201" s="363" t="s">
        <v>386</v>
      </c>
      <c r="BG201" s="363" t="s">
        <v>386</v>
      </c>
      <c r="BH201" s="363" t="s">
        <v>386</v>
      </c>
      <c r="BI201" s="363" t="s">
        <v>386</v>
      </c>
      <c r="BJ201" s="374" t="s">
        <v>386</v>
      </c>
      <c r="BK201" s="375" t="s">
        <v>386</v>
      </c>
      <c r="BL201" s="375" t="s">
        <v>386</v>
      </c>
      <c r="BM201" s="375" t="s">
        <v>386</v>
      </c>
      <c r="BN201" s="376" t="s">
        <v>386</v>
      </c>
      <c r="BO201" s="375" t="s">
        <v>386</v>
      </c>
      <c r="BP201" s="375" t="s">
        <v>386</v>
      </c>
      <c r="BQ201" s="375" t="s">
        <v>386</v>
      </c>
      <c r="BR201" s="375" t="s">
        <v>386</v>
      </c>
      <c r="BS201" s="376" t="s">
        <v>386</v>
      </c>
      <c r="BT201" s="363" t="s">
        <v>386</v>
      </c>
      <c r="BU201" s="363" t="s">
        <v>386</v>
      </c>
      <c r="BV201" s="363" t="s">
        <v>386</v>
      </c>
      <c r="BW201" s="363" t="s">
        <v>386</v>
      </c>
      <c r="BX201" s="364" t="s">
        <v>386</v>
      </c>
      <c r="BY201" s="363" t="s">
        <v>386</v>
      </c>
      <c r="BZ201" s="363" t="s">
        <v>386</v>
      </c>
      <c r="CA201" s="363" t="s">
        <v>386</v>
      </c>
      <c r="CB201" s="363" t="s">
        <v>386</v>
      </c>
      <c r="CC201" s="363" t="s">
        <v>386</v>
      </c>
      <c r="CD201" s="374" t="s">
        <v>386</v>
      </c>
      <c r="CE201" s="375" t="s">
        <v>386</v>
      </c>
      <c r="CF201" s="375" t="s">
        <v>386</v>
      </c>
      <c r="CG201" s="375" t="s">
        <v>386</v>
      </c>
      <c r="CH201" s="376" t="s">
        <v>386</v>
      </c>
    </row>
    <row r="202" spans="1:86" x14ac:dyDescent="0.25">
      <c r="A202" s="223" t="s">
        <v>311</v>
      </c>
      <c r="B202" s="229">
        <v>67.02000000000001</v>
      </c>
      <c r="C202" s="220">
        <v>57.959999999999994</v>
      </c>
      <c r="D202" s="220">
        <v>69.28</v>
      </c>
      <c r="E202" s="220">
        <v>40.580000000000005</v>
      </c>
      <c r="F202" s="224">
        <v>84.05</v>
      </c>
      <c r="G202" s="220">
        <v>52.68</v>
      </c>
      <c r="H202" s="220">
        <v>39.799999999999997</v>
      </c>
      <c r="I202" s="220">
        <v>36.6</v>
      </c>
      <c r="J202" s="220">
        <v>41.449999999999996</v>
      </c>
      <c r="K202" s="220">
        <v>49.99</v>
      </c>
      <c r="L202" s="229">
        <v>183.02</v>
      </c>
      <c r="M202" s="220">
        <v>119.56</v>
      </c>
      <c r="N202" s="220">
        <v>106.12</v>
      </c>
      <c r="O202" s="220">
        <v>144.25</v>
      </c>
      <c r="P202" s="224">
        <v>168.43</v>
      </c>
      <c r="Q202" s="220">
        <v>48.2</v>
      </c>
      <c r="R202" s="220">
        <v>38.4</v>
      </c>
      <c r="S202" s="220">
        <v>43.2</v>
      </c>
      <c r="T202" s="220">
        <v>40.1</v>
      </c>
      <c r="U202" s="220">
        <v>38.4</v>
      </c>
      <c r="V202" s="229">
        <v>87.13</v>
      </c>
      <c r="W202" s="220">
        <v>60.8</v>
      </c>
      <c r="X202" s="220">
        <v>87.05</v>
      </c>
      <c r="Y202" s="220">
        <v>60.8</v>
      </c>
      <c r="Z202" s="224">
        <v>129.65</v>
      </c>
      <c r="AA202" s="363" t="s">
        <v>386</v>
      </c>
      <c r="AB202" s="363" t="s">
        <v>386</v>
      </c>
      <c r="AC202" s="363" t="s">
        <v>386</v>
      </c>
      <c r="AD202" s="363" t="s">
        <v>386</v>
      </c>
      <c r="AE202" s="363" t="s">
        <v>386</v>
      </c>
      <c r="AF202" s="229">
        <v>91.83</v>
      </c>
      <c r="AG202" s="220">
        <v>84.03</v>
      </c>
      <c r="AH202" s="220">
        <v>90.21</v>
      </c>
      <c r="AI202" s="220">
        <v>107.66000000000001</v>
      </c>
      <c r="AJ202" s="224">
        <v>115.22999999999999</v>
      </c>
      <c r="AK202" s="363" t="s">
        <v>386</v>
      </c>
      <c r="AL202" s="363" t="s">
        <v>386</v>
      </c>
      <c r="AM202" s="363" t="s">
        <v>386</v>
      </c>
      <c r="AN202" s="363" t="s">
        <v>386</v>
      </c>
      <c r="AO202" s="363" t="s">
        <v>386</v>
      </c>
      <c r="AP202" s="229">
        <v>2465.38</v>
      </c>
      <c r="AQ202" s="220">
        <v>2162.1999999999998</v>
      </c>
      <c r="AR202" s="220">
        <v>1910.56</v>
      </c>
      <c r="AS202" s="220">
        <v>2534.9300000000003</v>
      </c>
      <c r="AT202" s="224">
        <v>1676.08</v>
      </c>
      <c r="AU202" s="363">
        <v>2279</v>
      </c>
      <c r="AV202" s="363">
        <v>1316</v>
      </c>
      <c r="AW202" s="363">
        <v>1898</v>
      </c>
      <c r="AX202" s="363">
        <v>2595</v>
      </c>
      <c r="AY202" s="363">
        <v>2435</v>
      </c>
      <c r="AZ202" s="374" t="s">
        <v>386</v>
      </c>
      <c r="BA202" s="375" t="s">
        <v>386</v>
      </c>
      <c r="BB202" s="375" t="s">
        <v>386</v>
      </c>
      <c r="BC202" s="375" t="s">
        <v>386</v>
      </c>
      <c r="BD202" s="376" t="s">
        <v>386</v>
      </c>
      <c r="BE202" s="363" t="s">
        <v>386</v>
      </c>
      <c r="BF202" s="363" t="s">
        <v>386</v>
      </c>
      <c r="BG202" s="363" t="s">
        <v>386</v>
      </c>
      <c r="BH202" s="363" t="s">
        <v>386</v>
      </c>
      <c r="BI202" s="363" t="s">
        <v>386</v>
      </c>
      <c r="BJ202" s="374" t="s">
        <v>386</v>
      </c>
      <c r="BK202" s="375" t="s">
        <v>386</v>
      </c>
      <c r="BL202" s="375" t="s">
        <v>386</v>
      </c>
      <c r="BM202" s="375" t="s">
        <v>386</v>
      </c>
      <c r="BN202" s="376" t="s">
        <v>386</v>
      </c>
      <c r="BO202" s="375" t="s">
        <v>386</v>
      </c>
      <c r="BP202" s="375" t="s">
        <v>386</v>
      </c>
      <c r="BQ202" s="375" t="s">
        <v>386</v>
      </c>
      <c r="BR202" s="375" t="s">
        <v>386</v>
      </c>
      <c r="BS202" s="376" t="s">
        <v>386</v>
      </c>
      <c r="BT202" s="363" t="s">
        <v>386</v>
      </c>
      <c r="BU202" s="363" t="s">
        <v>386</v>
      </c>
      <c r="BV202" s="363" t="s">
        <v>386</v>
      </c>
      <c r="BW202" s="363" t="s">
        <v>386</v>
      </c>
      <c r="BX202" s="364" t="s">
        <v>386</v>
      </c>
      <c r="BY202" s="363" t="s">
        <v>386</v>
      </c>
      <c r="BZ202" s="363" t="s">
        <v>386</v>
      </c>
      <c r="CA202" s="363" t="s">
        <v>386</v>
      </c>
      <c r="CB202" s="363" t="s">
        <v>386</v>
      </c>
      <c r="CC202" s="363" t="s">
        <v>386</v>
      </c>
      <c r="CD202" s="374" t="s">
        <v>386</v>
      </c>
      <c r="CE202" s="375" t="s">
        <v>386</v>
      </c>
      <c r="CF202" s="375" t="s">
        <v>386</v>
      </c>
      <c r="CG202" s="375" t="s">
        <v>386</v>
      </c>
      <c r="CH202" s="376" t="s">
        <v>386</v>
      </c>
    </row>
    <row r="203" spans="1:86" x14ac:dyDescent="0.25">
      <c r="A203" s="223" t="s">
        <v>312</v>
      </c>
      <c r="B203" s="229">
        <v>67.779999999999987</v>
      </c>
      <c r="C203" s="220">
        <v>38.849999999999994</v>
      </c>
      <c r="D203" s="220">
        <v>61.04</v>
      </c>
      <c r="E203" s="220">
        <v>38.029999999999994</v>
      </c>
      <c r="F203" s="224">
        <v>82.22</v>
      </c>
      <c r="G203" s="220">
        <v>45.64</v>
      </c>
      <c r="H203" s="220">
        <v>36.29</v>
      </c>
      <c r="I203" s="220">
        <v>29.6</v>
      </c>
      <c r="J203" s="220">
        <v>44.9</v>
      </c>
      <c r="K203" s="220">
        <v>46.48</v>
      </c>
      <c r="L203" s="229">
        <v>164.89000000000001</v>
      </c>
      <c r="M203" s="220">
        <v>103.73</v>
      </c>
      <c r="N203" s="220">
        <v>86.07</v>
      </c>
      <c r="O203" s="220">
        <v>127.93</v>
      </c>
      <c r="P203" s="224">
        <v>167.29</v>
      </c>
      <c r="Q203" s="220">
        <v>47.8</v>
      </c>
      <c r="R203" s="220">
        <v>35.200000000000003</v>
      </c>
      <c r="S203" s="220">
        <v>51.3</v>
      </c>
      <c r="T203" s="220">
        <v>50.6</v>
      </c>
      <c r="U203" s="220">
        <v>47.2</v>
      </c>
      <c r="V203" s="229">
        <v>87.5</v>
      </c>
      <c r="W203" s="220">
        <v>58.4</v>
      </c>
      <c r="X203" s="220">
        <v>103.21</v>
      </c>
      <c r="Y203" s="220">
        <v>58.4</v>
      </c>
      <c r="Z203" s="224">
        <v>121.61</v>
      </c>
      <c r="AA203" s="363" t="s">
        <v>386</v>
      </c>
      <c r="AB203" s="363" t="s">
        <v>386</v>
      </c>
      <c r="AC203" s="363" t="s">
        <v>386</v>
      </c>
      <c r="AD203" s="363" t="s">
        <v>386</v>
      </c>
      <c r="AE203" s="363" t="s">
        <v>386</v>
      </c>
      <c r="AF203" s="229">
        <v>103.96</v>
      </c>
      <c r="AG203" s="220">
        <v>67.2</v>
      </c>
      <c r="AH203" s="220">
        <v>69.34</v>
      </c>
      <c r="AI203" s="220">
        <v>73.37</v>
      </c>
      <c r="AJ203" s="224">
        <v>112.73</v>
      </c>
      <c r="AK203" s="363" t="s">
        <v>386</v>
      </c>
      <c r="AL203" s="363" t="s">
        <v>386</v>
      </c>
      <c r="AM203" s="363" t="s">
        <v>386</v>
      </c>
      <c r="AN203" s="363" t="s">
        <v>386</v>
      </c>
      <c r="AO203" s="363" t="s">
        <v>386</v>
      </c>
      <c r="AP203" s="229">
        <v>2312.6800000000003</v>
      </c>
      <c r="AQ203" s="220">
        <v>2138.83</v>
      </c>
      <c r="AR203" s="220">
        <v>2272.17</v>
      </c>
      <c r="AS203" s="220">
        <v>2237.09</v>
      </c>
      <c r="AT203" s="224">
        <v>2690.02</v>
      </c>
      <c r="AU203" s="220">
        <v>2279</v>
      </c>
      <c r="AV203" s="220">
        <v>1642.4</v>
      </c>
      <c r="AW203" s="220">
        <v>1879</v>
      </c>
      <c r="AX203" s="220">
        <v>2529</v>
      </c>
      <c r="AY203" s="220">
        <v>2475</v>
      </c>
      <c r="AZ203" s="374" t="s">
        <v>386</v>
      </c>
      <c r="BA203" s="375" t="s">
        <v>386</v>
      </c>
      <c r="BB203" s="375" t="s">
        <v>386</v>
      </c>
      <c r="BC203" s="375" t="s">
        <v>386</v>
      </c>
      <c r="BD203" s="376" t="s">
        <v>386</v>
      </c>
      <c r="BE203" s="363" t="s">
        <v>386</v>
      </c>
      <c r="BF203" s="363" t="s">
        <v>386</v>
      </c>
      <c r="BG203" s="363" t="s">
        <v>386</v>
      </c>
      <c r="BH203" s="363" t="s">
        <v>386</v>
      </c>
      <c r="BI203" s="363" t="s">
        <v>386</v>
      </c>
      <c r="BJ203" s="374" t="s">
        <v>386</v>
      </c>
      <c r="BK203" s="375" t="s">
        <v>386</v>
      </c>
      <c r="BL203" s="375" t="s">
        <v>386</v>
      </c>
      <c r="BM203" s="375" t="s">
        <v>386</v>
      </c>
      <c r="BN203" s="376" t="s">
        <v>386</v>
      </c>
      <c r="BO203" s="375" t="s">
        <v>386</v>
      </c>
      <c r="BP203" s="375" t="s">
        <v>386</v>
      </c>
      <c r="BQ203" s="375" t="s">
        <v>386</v>
      </c>
      <c r="BR203" s="375" t="s">
        <v>386</v>
      </c>
      <c r="BS203" s="376" t="s">
        <v>386</v>
      </c>
      <c r="BT203" s="363" t="s">
        <v>386</v>
      </c>
      <c r="BU203" s="363" t="s">
        <v>386</v>
      </c>
      <c r="BV203" s="363" t="s">
        <v>386</v>
      </c>
      <c r="BW203" s="363" t="s">
        <v>386</v>
      </c>
      <c r="BX203" s="364" t="s">
        <v>386</v>
      </c>
      <c r="BY203" s="363" t="s">
        <v>386</v>
      </c>
      <c r="BZ203" s="363" t="s">
        <v>386</v>
      </c>
      <c r="CA203" s="363" t="s">
        <v>386</v>
      </c>
      <c r="CB203" s="363" t="s">
        <v>386</v>
      </c>
      <c r="CC203" s="363" t="s">
        <v>386</v>
      </c>
      <c r="CD203" s="374" t="s">
        <v>386</v>
      </c>
      <c r="CE203" s="375" t="s">
        <v>386</v>
      </c>
      <c r="CF203" s="375" t="s">
        <v>386</v>
      </c>
      <c r="CG203" s="375" t="s">
        <v>386</v>
      </c>
      <c r="CH203" s="376" t="s">
        <v>386</v>
      </c>
    </row>
    <row r="204" spans="1:86" x14ac:dyDescent="0.25">
      <c r="A204" s="223" t="s">
        <v>313</v>
      </c>
      <c r="B204" s="229">
        <v>27.419999999999998</v>
      </c>
      <c r="C204" s="220">
        <v>22.450000000000003</v>
      </c>
      <c r="D204" s="220">
        <v>29.78</v>
      </c>
      <c r="E204" s="220">
        <v>27.810000000000002</v>
      </c>
      <c r="F204" s="224">
        <v>20.440000000000001</v>
      </c>
      <c r="G204" s="220">
        <v>32.380000000000003</v>
      </c>
      <c r="H204" s="220">
        <v>22.4</v>
      </c>
      <c r="I204" s="220">
        <v>22.4</v>
      </c>
      <c r="J204" s="220">
        <v>23.54</v>
      </c>
      <c r="K204" s="220">
        <v>22.4</v>
      </c>
      <c r="L204" s="229">
        <v>185.48</v>
      </c>
      <c r="M204" s="220">
        <v>186.75</v>
      </c>
      <c r="N204" s="220">
        <v>179.01999999999998</v>
      </c>
      <c r="O204" s="220">
        <v>198.64</v>
      </c>
      <c r="P204" s="224">
        <v>172.59</v>
      </c>
      <c r="Q204" s="220">
        <v>29</v>
      </c>
      <c r="R204" s="220">
        <v>27.2</v>
      </c>
      <c r="S204" s="220">
        <v>40.799999999999997</v>
      </c>
      <c r="T204" s="220">
        <v>50.4</v>
      </c>
      <c r="U204" s="220">
        <v>35.5</v>
      </c>
      <c r="V204" s="229">
        <v>46.3</v>
      </c>
      <c r="W204" s="220">
        <v>27.2</v>
      </c>
      <c r="X204" s="220">
        <v>65.7</v>
      </c>
      <c r="Y204" s="220">
        <v>50</v>
      </c>
      <c r="Z204" s="224">
        <v>53.6</v>
      </c>
      <c r="AA204" s="363">
        <v>14.6</v>
      </c>
      <c r="AB204" s="363">
        <v>11.2</v>
      </c>
      <c r="AC204" s="363">
        <v>17.3</v>
      </c>
      <c r="AD204" s="363">
        <v>23.9</v>
      </c>
      <c r="AE204" s="363">
        <v>19</v>
      </c>
      <c r="AF204" s="229">
        <v>48.3</v>
      </c>
      <c r="AG204" s="220">
        <v>31.8</v>
      </c>
      <c r="AH204" s="220">
        <v>25.8</v>
      </c>
      <c r="AI204" s="220">
        <v>41.3</v>
      </c>
      <c r="AJ204" s="224">
        <v>57.7</v>
      </c>
      <c r="AK204" s="220" t="s">
        <v>386</v>
      </c>
      <c r="AL204" s="220" t="s">
        <v>386</v>
      </c>
      <c r="AM204" s="220" t="s">
        <v>386</v>
      </c>
      <c r="AN204" s="220" t="s">
        <v>386</v>
      </c>
      <c r="AO204" s="220" t="s">
        <v>386</v>
      </c>
      <c r="AP204" s="229">
        <v>1230.78</v>
      </c>
      <c r="AQ204" s="220">
        <v>1391.68</v>
      </c>
      <c r="AR204" s="220">
        <v>1256.72</v>
      </c>
      <c r="AS204" s="220">
        <v>1581.64</v>
      </c>
      <c r="AT204" s="224">
        <v>1353.93</v>
      </c>
      <c r="AU204" s="220" t="s">
        <v>386</v>
      </c>
      <c r="AV204" s="220" t="s">
        <v>386</v>
      </c>
      <c r="AW204" s="220" t="s">
        <v>386</v>
      </c>
      <c r="AX204" s="220" t="s">
        <v>386</v>
      </c>
      <c r="AY204" s="220" t="s">
        <v>386</v>
      </c>
      <c r="AZ204" s="374" t="s">
        <v>386</v>
      </c>
      <c r="BA204" s="375" t="s">
        <v>386</v>
      </c>
      <c r="BB204" s="375" t="s">
        <v>386</v>
      </c>
      <c r="BC204" s="375" t="s">
        <v>386</v>
      </c>
      <c r="BD204" s="376" t="s">
        <v>386</v>
      </c>
      <c r="BE204" s="220">
        <v>1022</v>
      </c>
      <c r="BF204" s="220">
        <v>617.6</v>
      </c>
      <c r="BG204" s="220">
        <v>873.36</v>
      </c>
      <c r="BH204" s="220">
        <v>1069.45</v>
      </c>
      <c r="BI204" s="220">
        <v>983</v>
      </c>
      <c r="BJ204" s="374" t="s">
        <v>386</v>
      </c>
      <c r="BK204" s="375" t="s">
        <v>386</v>
      </c>
      <c r="BL204" s="375" t="s">
        <v>386</v>
      </c>
      <c r="BM204" s="375" t="s">
        <v>386</v>
      </c>
      <c r="BN204" s="376" t="s">
        <v>386</v>
      </c>
      <c r="BO204" s="375" t="s">
        <v>386</v>
      </c>
      <c r="BP204" s="375" t="s">
        <v>386</v>
      </c>
      <c r="BQ204" s="375" t="s">
        <v>386</v>
      </c>
      <c r="BR204" s="375" t="s">
        <v>386</v>
      </c>
      <c r="BS204" s="376" t="s">
        <v>386</v>
      </c>
      <c r="BT204" s="363" t="s">
        <v>386</v>
      </c>
      <c r="BU204" s="363" t="s">
        <v>386</v>
      </c>
      <c r="BV204" s="363" t="s">
        <v>386</v>
      </c>
      <c r="BW204" s="363" t="s">
        <v>386</v>
      </c>
      <c r="BX204" s="364" t="s">
        <v>386</v>
      </c>
      <c r="BY204" s="363" t="s">
        <v>386</v>
      </c>
      <c r="BZ204" s="363" t="s">
        <v>386</v>
      </c>
      <c r="CA204" s="363" t="s">
        <v>386</v>
      </c>
      <c r="CB204" s="363" t="s">
        <v>386</v>
      </c>
      <c r="CC204" s="363" t="s">
        <v>386</v>
      </c>
      <c r="CD204" s="374" t="s">
        <v>386</v>
      </c>
      <c r="CE204" s="375" t="s">
        <v>386</v>
      </c>
      <c r="CF204" s="375" t="s">
        <v>386</v>
      </c>
      <c r="CG204" s="375" t="s">
        <v>386</v>
      </c>
      <c r="CH204" s="376" t="s">
        <v>386</v>
      </c>
    </row>
    <row r="205" spans="1:86" x14ac:dyDescent="0.25">
      <c r="A205" s="223" t="s">
        <v>314</v>
      </c>
      <c r="B205" s="229">
        <v>51.79</v>
      </c>
      <c r="C205" s="220">
        <v>39.299999999999997</v>
      </c>
      <c r="D205" s="220">
        <v>56.55</v>
      </c>
      <c r="E205" s="220">
        <v>49.459999999999994</v>
      </c>
      <c r="F205" s="224">
        <v>54.04</v>
      </c>
      <c r="G205" s="220">
        <v>37.86</v>
      </c>
      <c r="H205" s="220">
        <v>31.450000000000003</v>
      </c>
      <c r="I205" s="220">
        <v>35.82</v>
      </c>
      <c r="J205" s="220">
        <v>49.470000000000006</v>
      </c>
      <c r="K205" s="220">
        <v>39.580000000000005</v>
      </c>
      <c r="L205" s="229">
        <v>149.28</v>
      </c>
      <c r="M205" s="220">
        <v>106.45</v>
      </c>
      <c r="N205" s="220">
        <v>131.78</v>
      </c>
      <c r="O205" s="220">
        <v>174.70999999999998</v>
      </c>
      <c r="P205" s="224">
        <v>148.26</v>
      </c>
      <c r="Q205" s="220">
        <v>38.4</v>
      </c>
      <c r="R205" s="220">
        <v>27.2</v>
      </c>
      <c r="S205" s="220">
        <v>79.7</v>
      </c>
      <c r="T205" s="220">
        <v>78.400000000000006</v>
      </c>
      <c r="U205" s="220">
        <v>86.9</v>
      </c>
      <c r="V205" s="229">
        <v>81.709999999999994</v>
      </c>
      <c r="W205" s="220">
        <v>64</v>
      </c>
      <c r="X205" s="220">
        <v>76</v>
      </c>
      <c r="Y205" s="220">
        <v>64</v>
      </c>
      <c r="Z205" s="224">
        <v>100.58</v>
      </c>
      <c r="AA205" s="220">
        <v>14.6</v>
      </c>
      <c r="AB205" s="220">
        <v>11.2</v>
      </c>
      <c r="AC205" s="220">
        <v>12.7</v>
      </c>
      <c r="AD205" s="220">
        <v>16.5</v>
      </c>
      <c r="AE205" s="220">
        <v>15.3</v>
      </c>
      <c r="AF205" s="229">
        <v>58.9</v>
      </c>
      <c r="AG205" s="220">
        <v>39.9</v>
      </c>
      <c r="AH205" s="220">
        <v>36</v>
      </c>
      <c r="AI205" s="220">
        <v>51.7</v>
      </c>
      <c r="AJ205" s="224">
        <v>63</v>
      </c>
      <c r="AK205" s="220" t="s">
        <v>386</v>
      </c>
      <c r="AL205" s="220" t="s">
        <v>386</v>
      </c>
      <c r="AM205" s="220" t="s">
        <v>386</v>
      </c>
      <c r="AN205" s="220" t="s">
        <v>386</v>
      </c>
      <c r="AO205" s="220" t="s">
        <v>386</v>
      </c>
      <c r="AP205" s="229">
        <v>2484.7800000000002</v>
      </c>
      <c r="AQ205" s="220">
        <v>1689</v>
      </c>
      <c r="AR205" s="220">
        <v>2539.1</v>
      </c>
      <c r="AS205" s="220">
        <v>2459.21</v>
      </c>
      <c r="AT205" s="224">
        <v>2223.8300000000004</v>
      </c>
      <c r="AU205" s="220">
        <v>1976</v>
      </c>
      <c r="AV205" s="220">
        <v>1320</v>
      </c>
      <c r="AW205" s="220">
        <v>1668</v>
      </c>
      <c r="AX205" s="220">
        <v>2682</v>
      </c>
      <c r="AY205" s="220">
        <v>1621</v>
      </c>
      <c r="AZ205" s="374" t="s">
        <v>386</v>
      </c>
      <c r="BA205" s="375" t="s">
        <v>386</v>
      </c>
      <c r="BB205" s="375" t="s">
        <v>386</v>
      </c>
      <c r="BC205" s="375" t="s">
        <v>386</v>
      </c>
      <c r="BD205" s="376" t="s">
        <v>386</v>
      </c>
      <c r="BE205" s="363" t="s">
        <v>386</v>
      </c>
      <c r="BF205" s="363" t="s">
        <v>386</v>
      </c>
      <c r="BG205" s="363" t="s">
        <v>386</v>
      </c>
      <c r="BH205" s="363" t="s">
        <v>386</v>
      </c>
      <c r="BI205" s="363" t="s">
        <v>386</v>
      </c>
      <c r="BJ205" s="374" t="s">
        <v>386</v>
      </c>
      <c r="BK205" s="375" t="s">
        <v>386</v>
      </c>
      <c r="BL205" s="375" t="s">
        <v>386</v>
      </c>
      <c r="BM205" s="375" t="s">
        <v>386</v>
      </c>
      <c r="BN205" s="376" t="s">
        <v>386</v>
      </c>
      <c r="BO205" s="375" t="s">
        <v>386</v>
      </c>
      <c r="BP205" s="375" t="s">
        <v>386</v>
      </c>
      <c r="BQ205" s="375" t="s">
        <v>386</v>
      </c>
      <c r="BR205" s="375" t="s">
        <v>386</v>
      </c>
      <c r="BS205" s="376" t="s">
        <v>386</v>
      </c>
      <c r="BT205" s="220" t="s">
        <v>386</v>
      </c>
      <c r="BU205" s="220" t="s">
        <v>386</v>
      </c>
      <c r="BV205" s="220" t="s">
        <v>386</v>
      </c>
      <c r="BW205" s="220" t="s">
        <v>386</v>
      </c>
      <c r="BX205" s="224" t="s">
        <v>386</v>
      </c>
      <c r="BY205" s="220">
        <v>1781</v>
      </c>
      <c r="BZ205" s="220">
        <v>1038</v>
      </c>
      <c r="CA205" s="220">
        <v>1909</v>
      </c>
      <c r="CB205" s="220">
        <v>2398</v>
      </c>
      <c r="CC205" s="220">
        <v>1603</v>
      </c>
      <c r="CD205" s="374" t="s">
        <v>386</v>
      </c>
      <c r="CE205" s="375" t="s">
        <v>386</v>
      </c>
      <c r="CF205" s="375" t="s">
        <v>386</v>
      </c>
      <c r="CG205" s="375" t="s">
        <v>386</v>
      </c>
      <c r="CH205" s="376" t="s">
        <v>386</v>
      </c>
    </row>
    <row r="206" spans="1:86" x14ac:dyDescent="0.25">
      <c r="A206" s="223" t="s">
        <v>315</v>
      </c>
      <c r="B206" s="229">
        <v>68.58</v>
      </c>
      <c r="C206" s="220">
        <v>64.97</v>
      </c>
      <c r="D206" s="220">
        <v>67.27</v>
      </c>
      <c r="E206" s="220">
        <v>47.49</v>
      </c>
      <c r="F206" s="224">
        <v>85.18</v>
      </c>
      <c r="G206" s="220">
        <v>50.96</v>
      </c>
      <c r="H206" s="220">
        <v>42.45</v>
      </c>
      <c r="I206" s="220">
        <v>36.08</v>
      </c>
      <c r="J206" s="220">
        <v>38.449999999999996</v>
      </c>
      <c r="K206" s="220">
        <v>47.160000000000004</v>
      </c>
      <c r="L206" s="229">
        <v>180.08999999999997</v>
      </c>
      <c r="M206" s="220">
        <v>136.82</v>
      </c>
      <c r="N206" s="220">
        <v>111.28</v>
      </c>
      <c r="O206" s="220">
        <v>137.94</v>
      </c>
      <c r="P206" s="224">
        <v>159</v>
      </c>
      <c r="Q206" s="220">
        <v>48.4</v>
      </c>
      <c r="R206" s="220">
        <v>40.799999999999997</v>
      </c>
      <c r="S206" s="220">
        <v>43.2</v>
      </c>
      <c r="T206" s="220">
        <v>39.9</v>
      </c>
      <c r="U206" s="220">
        <v>37.6</v>
      </c>
      <c r="V206" s="229">
        <v>85.85</v>
      </c>
      <c r="W206" s="220">
        <v>76.2</v>
      </c>
      <c r="X206" s="220">
        <v>90.2</v>
      </c>
      <c r="Y206" s="220">
        <v>66.400000000000006</v>
      </c>
      <c r="Z206" s="224">
        <v>114.69</v>
      </c>
      <c r="AA206" s="363" t="s">
        <v>386</v>
      </c>
      <c r="AB206" s="363" t="s">
        <v>386</v>
      </c>
      <c r="AC206" s="363" t="s">
        <v>386</v>
      </c>
      <c r="AD206" s="363" t="s">
        <v>386</v>
      </c>
      <c r="AE206" s="363" t="s">
        <v>386</v>
      </c>
      <c r="AF206" s="229">
        <v>127.86999999999999</v>
      </c>
      <c r="AG206" s="220">
        <v>112.53</v>
      </c>
      <c r="AH206" s="220">
        <v>108.92</v>
      </c>
      <c r="AI206" s="220">
        <v>119.46000000000001</v>
      </c>
      <c r="AJ206" s="224">
        <v>130.6</v>
      </c>
      <c r="AK206" s="363" t="s">
        <v>386</v>
      </c>
      <c r="AL206" s="363" t="s">
        <v>386</v>
      </c>
      <c r="AM206" s="363" t="s">
        <v>386</v>
      </c>
      <c r="AN206" s="363" t="s">
        <v>386</v>
      </c>
      <c r="AO206" s="363" t="s">
        <v>386</v>
      </c>
      <c r="AP206" s="229">
        <v>2435.69</v>
      </c>
      <c r="AQ206" s="220">
        <v>2454.8599999999997</v>
      </c>
      <c r="AR206" s="220">
        <v>2983.77</v>
      </c>
      <c r="AS206" s="220">
        <v>2818.67</v>
      </c>
      <c r="AT206" s="224">
        <v>2002.76</v>
      </c>
      <c r="AU206" s="220">
        <v>2279</v>
      </c>
      <c r="AV206" s="220">
        <v>1328</v>
      </c>
      <c r="AW206" s="220">
        <v>1898</v>
      </c>
      <c r="AX206" s="220">
        <v>2595</v>
      </c>
      <c r="AY206" s="220">
        <v>2435</v>
      </c>
      <c r="AZ206" s="374" t="s">
        <v>386</v>
      </c>
      <c r="BA206" s="375" t="s">
        <v>386</v>
      </c>
      <c r="BB206" s="375" t="s">
        <v>386</v>
      </c>
      <c r="BC206" s="375" t="s">
        <v>386</v>
      </c>
      <c r="BD206" s="376" t="s">
        <v>386</v>
      </c>
      <c r="BE206" s="363" t="s">
        <v>386</v>
      </c>
      <c r="BF206" s="363" t="s">
        <v>386</v>
      </c>
      <c r="BG206" s="363" t="s">
        <v>386</v>
      </c>
      <c r="BH206" s="363" t="s">
        <v>386</v>
      </c>
      <c r="BI206" s="363" t="s">
        <v>386</v>
      </c>
      <c r="BJ206" s="374" t="s">
        <v>386</v>
      </c>
      <c r="BK206" s="375" t="s">
        <v>386</v>
      </c>
      <c r="BL206" s="375" t="s">
        <v>386</v>
      </c>
      <c r="BM206" s="375" t="s">
        <v>386</v>
      </c>
      <c r="BN206" s="376" t="s">
        <v>386</v>
      </c>
      <c r="BO206" s="375" t="s">
        <v>386</v>
      </c>
      <c r="BP206" s="375" t="s">
        <v>386</v>
      </c>
      <c r="BQ206" s="375" t="s">
        <v>386</v>
      </c>
      <c r="BR206" s="375" t="s">
        <v>386</v>
      </c>
      <c r="BS206" s="376" t="s">
        <v>386</v>
      </c>
      <c r="BT206" s="363" t="s">
        <v>386</v>
      </c>
      <c r="BU206" s="363" t="s">
        <v>386</v>
      </c>
      <c r="BV206" s="363" t="s">
        <v>386</v>
      </c>
      <c r="BW206" s="363" t="s">
        <v>386</v>
      </c>
      <c r="BX206" s="364" t="s">
        <v>386</v>
      </c>
      <c r="BY206" s="363" t="s">
        <v>386</v>
      </c>
      <c r="BZ206" s="363" t="s">
        <v>386</v>
      </c>
      <c r="CA206" s="363" t="s">
        <v>386</v>
      </c>
      <c r="CB206" s="363" t="s">
        <v>386</v>
      </c>
      <c r="CC206" s="363" t="s">
        <v>386</v>
      </c>
      <c r="CD206" s="374" t="s">
        <v>386</v>
      </c>
      <c r="CE206" s="375" t="s">
        <v>386</v>
      </c>
      <c r="CF206" s="375" t="s">
        <v>386</v>
      </c>
      <c r="CG206" s="375" t="s">
        <v>386</v>
      </c>
      <c r="CH206" s="376" t="s">
        <v>386</v>
      </c>
    </row>
    <row r="207" spans="1:86" x14ac:dyDescent="0.25">
      <c r="A207" s="223" t="s">
        <v>316</v>
      </c>
      <c r="B207" s="229">
        <v>60.11</v>
      </c>
      <c r="C207" s="220">
        <v>55.38</v>
      </c>
      <c r="D207" s="220">
        <v>58.8</v>
      </c>
      <c r="E207" s="220">
        <v>43.85</v>
      </c>
      <c r="F207" s="224">
        <v>58.04</v>
      </c>
      <c r="G207" s="220">
        <v>49.91</v>
      </c>
      <c r="H207" s="220">
        <v>53.690000000000005</v>
      </c>
      <c r="I207" s="220">
        <v>44.449999999999996</v>
      </c>
      <c r="J207" s="220">
        <v>48.32</v>
      </c>
      <c r="K207" s="220">
        <v>44.519999999999996</v>
      </c>
      <c r="L207" s="229">
        <v>197.33</v>
      </c>
      <c r="M207" s="220">
        <v>200.04</v>
      </c>
      <c r="N207" s="220">
        <v>183.29</v>
      </c>
      <c r="O207" s="220">
        <v>185.42000000000002</v>
      </c>
      <c r="P207" s="224">
        <v>187.39000000000001</v>
      </c>
      <c r="Q207" s="220">
        <v>57.6</v>
      </c>
      <c r="R207" s="220">
        <v>39.200000000000003</v>
      </c>
      <c r="S207" s="220">
        <v>64.099999999999994</v>
      </c>
      <c r="T207" s="220">
        <v>59.3</v>
      </c>
      <c r="U207" s="220">
        <v>63.8</v>
      </c>
      <c r="V207" s="229">
        <v>97.06</v>
      </c>
      <c r="W207" s="220">
        <v>70.400000000000006</v>
      </c>
      <c r="X207" s="220">
        <v>101.99</v>
      </c>
      <c r="Y207" s="220">
        <v>70.400000000000006</v>
      </c>
      <c r="Z207" s="224">
        <v>97.85</v>
      </c>
      <c r="AA207" s="220">
        <v>18.2</v>
      </c>
      <c r="AB207" s="220">
        <v>15.2</v>
      </c>
      <c r="AC207" s="220">
        <v>15.2</v>
      </c>
      <c r="AD207" s="220">
        <v>15.2</v>
      </c>
      <c r="AE207" s="220">
        <v>15.4</v>
      </c>
      <c r="AF207" s="229">
        <v>90.3</v>
      </c>
      <c r="AG207" s="220">
        <v>69.3</v>
      </c>
      <c r="AH207" s="220">
        <v>80.2</v>
      </c>
      <c r="AI207" s="220">
        <v>95.8</v>
      </c>
      <c r="AJ207" s="224">
        <v>104.3</v>
      </c>
      <c r="AK207" s="363" t="s">
        <v>386</v>
      </c>
      <c r="AL207" s="363" t="s">
        <v>386</v>
      </c>
      <c r="AM207" s="363" t="s">
        <v>386</v>
      </c>
      <c r="AN207" s="363" t="s">
        <v>386</v>
      </c>
      <c r="AO207" s="363" t="s">
        <v>386</v>
      </c>
      <c r="AP207" s="229">
        <v>2369.46</v>
      </c>
      <c r="AQ207" s="220">
        <v>2296.5500000000002</v>
      </c>
      <c r="AR207" s="220">
        <v>2831.64</v>
      </c>
      <c r="AS207" s="220">
        <v>2405.73</v>
      </c>
      <c r="AT207" s="224">
        <v>1941.82</v>
      </c>
      <c r="AU207" s="363" t="s">
        <v>386</v>
      </c>
      <c r="AV207" s="363" t="s">
        <v>386</v>
      </c>
      <c r="AW207" s="363" t="s">
        <v>386</v>
      </c>
      <c r="AX207" s="363" t="s">
        <v>386</v>
      </c>
      <c r="AY207" s="363" t="s">
        <v>386</v>
      </c>
      <c r="AZ207" s="374" t="s">
        <v>386</v>
      </c>
      <c r="BA207" s="375" t="s">
        <v>386</v>
      </c>
      <c r="BB207" s="375" t="s">
        <v>386</v>
      </c>
      <c r="BC207" s="375" t="s">
        <v>386</v>
      </c>
      <c r="BD207" s="376" t="s">
        <v>386</v>
      </c>
      <c r="BE207" s="363" t="s">
        <v>386</v>
      </c>
      <c r="BF207" s="363" t="s">
        <v>386</v>
      </c>
      <c r="BG207" s="363" t="s">
        <v>386</v>
      </c>
      <c r="BH207" s="363" t="s">
        <v>386</v>
      </c>
      <c r="BI207" s="363" t="s">
        <v>386</v>
      </c>
      <c r="BJ207" s="374" t="s">
        <v>386</v>
      </c>
      <c r="BK207" s="375" t="s">
        <v>386</v>
      </c>
      <c r="BL207" s="375" t="s">
        <v>386</v>
      </c>
      <c r="BM207" s="375" t="s">
        <v>386</v>
      </c>
      <c r="BN207" s="376" t="s">
        <v>386</v>
      </c>
      <c r="BO207" s="375" t="s">
        <v>386</v>
      </c>
      <c r="BP207" s="375" t="s">
        <v>386</v>
      </c>
      <c r="BQ207" s="375" t="s">
        <v>386</v>
      </c>
      <c r="BR207" s="375" t="s">
        <v>386</v>
      </c>
      <c r="BS207" s="376" t="s">
        <v>386</v>
      </c>
      <c r="BT207" s="363" t="s">
        <v>386</v>
      </c>
      <c r="BU207" s="363" t="s">
        <v>386</v>
      </c>
      <c r="BV207" s="363" t="s">
        <v>386</v>
      </c>
      <c r="BW207" s="363" t="s">
        <v>386</v>
      </c>
      <c r="BX207" s="364" t="s">
        <v>386</v>
      </c>
      <c r="BY207" s="363" t="s">
        <v>386</v>
      </c>
      <c r="BZ207" s="363" t="s">
        <v>386</v>
      </c>
      <c r="CA207" s="363" t="s">
        <v>386</v>
      </c>
      <c r="CB207" s="363" t="s">
        <v>386</v>
      </c>
      <c r="CC207" s="363" t="s">
        <v>386</v>
      </c>
      <c r="CD207" s="374" t="s">
        <v>386</v>
      </c>
      <c r="CE207" s="375" t="s">
        <v>386</v>
      </c>
      <c r="CF207" s="375" t="s">
        <v>386</v>
      </c>
      <c r="CG207" s="375" t="s">
        <v>386</v>
      </c>
      <c r="CH207" s="376" t="s">
        <v>386</v>
      </c>
    </row>
    <row r="208" spans="1:86" x14ac:dyDescent="0.25">
      <c r="A208" s="223" t="s">
        <v>317</v>
      </c>
      <c r="B208" s="229">
        <v>47.94</v>
      </c>
      <c r="C208" s="220">
        <v>40.799999999999997</v>
      </c>
      <c r="D208" s="220">
        <v>57.6</v>
      </c>
      <c r="E208" s="220">
        <v>46.4</v>
      </c>
      <c r="F208" s="224">
        <v>61.31</v>
      </c>
      <c r="G208" s="220">
        <v>51.279999999999994</v>
      </c>
      <c r="H208" s="220">
        <v>49.81</v>
      </c>
      <c r="I208" s="220">
        <v>39.68</v>
      </c>
      <c r="J208" s="220">
        <v>51.010000000000005</v>
      </c>
      <c r="K208" s="220">
        <v>41.04</v>
      </c>
      <c r="L208" s="229">
        <v>196.01000000000002</v>
      </c>
      <c r="M208" s="220">
        <v>160.12</v>
      </c>
      <c r="N208" s="220">
        <v>135.6</v>
      </c>
      <c r="O208" s="220">
        <v>187.25</v>
      </c>
      <c r="P208" s="224">
        <v>166.84</v>
      </c>
      <c r="Q208" s="220">
        <v>42.3</v>
      </c>
      <c r="R208" s="220">
        <v>40</v>
      </c>
      <c r="S208" s="220">
        <v>46.5</v>
      </c>
      <c r="T208" s="220">
        <v>47.3</v>
      </c>
      <c r="U208" s="220">
        <v>41.8</v>
      </c>
      <c r="V208" s="229">
        <v>75.5</v>
      </c>
      <c r="W208" s="220">
        <v>63.2</v>
      </c>
      <c r="X208" s="220">
        <v>63.2</v>
      </c>
      <c r="Y208" s="220">
        <v>70.17</v>
      </c>
      <c r="Z208" s="224">
        <v>73.34</v>
      </c>
      <c r="AA208" s="363" t="s">
        <v>386</v>
      </c>
      <c r="AB208" s="363" t="s">
        <v>386</v>
      </c>
      <c r="AC208" s="363" t="s">
        <v>386</v>
      </c>
      <c r="AD208" s="363" t="s">
        <v>386</v>
      </c>
      <c r="AE208" s="363" t="s">
        <v>386</v>
      </c>
      <c r="AF208" s="229">
        <v>93.5</v>
      </c>
      <c r="AG208" s="220">
        <v>72.2</v>
      </c>
      <c r="AH208" s="220">
        <v>86.9</v>
      </c>
      <c r="AI208" s="220">
        <v>95.4</v>
      </c>
      <c r="AJ208" s="224">
        <v>97.3</v>
      </c>
      <c r="AK208" s="363" t="s">
        <v>386</v>
      </c>
      <c r="AL208" s="363" t="s">
        <v>386</v>
      </c>
      <c r="AM208" s="363" t="s">
        <v>386</v>
      </c>
      <c r="AN208" s="363" t="s">
        <v>386</v>
      </c>
      <c r="AO208" s="363" t="s">
        <v>386</v>
      </c>
      <c r="AP208" s="362" t="s">
        <v>386</v>
      </c>
      <c r="AQ208" s="363" t="s">
        <v>386</v>
      </c>
      <c r="AR208" s="363" t="s">
        <v>386</v>
      </c>
      <c r="AS208" s="363" t="s">
        <v>386</v>
      </c>
      <c r="AT208" s="364" t="s">
        <v>386</v>
      </c>
      <c r="AU208" s="363" t="s">
        <v>386</v>
      </c>
      <c r="AV208" s="363" t="s">
        <v>386</v>
      </c>
      <c r="AW208" s="363" t="s">
        <v>386</v>
      </c>
      <c r="AX208" s="363" t="s">
        <v>386</v>
      </c>
      <c r="AY208" s="363" t="s">
        <v>386</v>
      </c>
      <c r="AZ208" s="374" t="s">
        <v>386</v>
      </c>
      <c r="BA208" s="375" t="s">
        <v>386</v>
      </c>
      <c r="BB208" s="375" t="s">
        <v>386</v>
      </c>
      <c r="BC208" s="375" t="s">
        <v>386</v>
      </c>
      <c r="BD208" s="376" t="s">
        <v>386</v>
      </c>
      <c r="BE208" s="363" t="s">
        <v>386</v>
      </c>
      <c r="BF208" s="363" t="s">
        <v>386</v>
      </c>
      <c r="BG208" s="363" t="s">
        <v>386</v>
      </c>
      <c r="BH208" s="363" t="s">
        <v>386</v>
      </c>
      <c r="BI208" s="363" t="s">
        <v>386</v>
      </c>
      <c r="BJ208" s="374" t="s">
        <v>386</v>
      </c>
      <c r="BK208" s="375" t="s">
        <v>386</v>
      </c>
      <c r="BL208" s="375" t="s">
        <v>386</v>
      </c>
      <c r="BM208" s="375" t="s">
        <v>386</v>
      </c>
      <c r="BN208" s="376" t="s">
        <v>386</v>
      </c>
      <c r="BO208" s="375" t="s">
        <v>386</v>
      </c>
      <c r="BP208" s="375" t="s">
        <v>386</v>
      </c>
      <c r="BQ208" s="375" t="s">
        <v>386</v>
      </c>
      <c r="BR208" s="375" t="s">
        <v>386</v>
      </c>
      <c r="BS208" s="376" t="s">
        <v>386</v>
      </c>
      <c r="BT208" s="363" t="s">
        <v>386</v>
      </c>
      <c r="BU208" s="363" t="s">
        <v>386</v>
      </c>
      <c r="BV208" s="363" t="s">
        <v>386</v>
      </c>
      <c r="BW208" s="363" t="s">
        <v>386</v>
      </c>
      <c r="BX208" s="364" t="s">
        <v>386</v>
      </c>
      <c r="BY208" s="363" t="s">
        <v>386</v>
      </c>
      <c r="BZ208" s="363" t="s">
        <v>386</v>
      </c>
      <c r="CA208" s="363" t="s">
        <v>386</v>
      </c>
      <c r="CB208" s="363" t="s">
        <v>386</v>
      </c>
      <c r="CC208" s="363" t="s">
        <v>386</v>
      </c>
      <c r="CD208" s="374" t="s">
        <v>386</v>
      </c>
      <c r="CE208" s="375" t="s">
        <v>386</v>
      </c>
      <c r="CF208" s="375" t="s">
        <v>386</v>
      </c>
      <c r="CG208" s="375" t="s">
        <v>386</v>
      </c>
      <c r="CH208" s="376" t="s">
        <v>386</v>
      </c>
    </row>
    <row r="209" spans="1:86" x14ac:dyDescent="0.25">
      <c r="A209" s="223" t="s">
        <v>318</v>
      </c>
      <c r="B209" s="229">
        <v>68.52</v>
      </c>
      <c r="C209" s="220">
        <v>56.08</v>
      </c>
      <c r="D209" s="220">
        <v>55.28</v>
      </c>
      <c r="E209" s="220">
        <v>61.32</v>
      </c>
      <c r="F209" s="224">
        <v>64.38000000000001</v>
      </c>
      <c r="G209" s="220">
        <v>49.9</v>
      </c>
      <c r="H209" s="220">
        <v>59.99</v>
      </c>
      <c r="I209" s="220">
        <v>47.98</v>
      </c>
      <c r="J209" s="220">
        <v>48.6</v>
      </c>
      <c r="K209" s="220">
        <v>46.09</v>
      </c>
      <c r="L209" s="229">
        <v>205</v>
      </c>
      <c r="M209" s="220">
        <v>221.55</v>
      </c>
      <c r="N209" s="220">
        <v>198.91</v>
      </c>
      <c r="O209" s="220">
        <v>176.48</v>
      </c>
      <c r="P209" s="224">
        <v>200.92999999999998</v>
      </c>
      <c r="Q209" s="220">
        <v>62.5</v>
      </c>
      <c r="R209" s="220">
        <v>40</v>
      </c>
      <c r="S209" s="220">
        <v>63.9</v>
      </c>
      <c r="T209" s="220">
        <v>57.7</v>
      </c>
      <c r="U209" s="220">
        <v>63.6</v>
      </c>
      <c r="V209" s="229">
        <v>107.31</v>
      </c>
      <c r="W209" s="220">
        <v>77.599999999999994</v>
      </c>
      <c r="X209" s="220">
        <v>96.1</v>
      </c>
      <c r="Y209" s="220">
        <v>77.599999999999994</v>
      </c>
      <c r="Z209" s="224">
        <v>101.71</v>
      </c>
      <c r="AA209" s="220">
        <v>17</v>
      </c>
      <c r="AB209" s="220">
        <v>15.2</v>
      </c>
      <c r="AC209" s="220">
        <v>15.2</v>
      </c>
      <c r="AD209" s="220">
        <v>15.2</v>
      </c>
      <c r="AE209" s="220">
        <v>15.4</v>
      </c>
      <c r="AF209" s="229">
        <v>90.3</v>
      </c>
      <c r="AG209" s="220">
        <v>69.3</v>
      </c>
      <c r="AH209" s="220">
        <v>80.2</v>
      </c>
      <c r="AI209" s="220">
        <v>95.8</v>
      </c>
      <c r="AJ209" s="224">
        <v>104.3</v>
      </c>
      <c r="AK209" s="363" t="s">
        <v>386</v>
      </c>
      <c r="AL209" s="363" t="s">
        <v>386</v>
      </c>
      <c r="AM209" s="363" t="s">
        <v>386</v>
      </c>
      <c r="AN209" s="363" t="s">
        <v>386</v>
      </c>
      <c r="AO209" s="363" t="s">
        <v>386</v>
      </c>
      <c r="AP209" s="229">
        <v>2399</v>
      </c>
      <c r="AQ209" s="220">
        <v>1951</v>
      </c>
      <c r="AR209" s="220">
        <v>2675</v>
      </c>
      <c r="AS209" s="220">
        <v>2367</v>
      </c>
      <c r="AT209" s="224">
        <v>1916</v>
      </c>
      <c r="AU209" s="363" t="s">
        <v>386</v>
      </c>
      <c r="AV209" s="363" t="s">
        <v>386</v>
      </c>
      <c r="AW209" s="363" t="s">
        <v>386</v>
      </c>
      <c r="AX209" s="363" t="s">
        <v>386</v>
      </c>
      <c r="AY209" s="363" t="s">
        <v>386</v>
      </c>
      <c r="AZ209" s="374" t="s">
        <v>386</v>
      </c>
      <c r="BA209" s="375" t="s">
        <v>386</v>
      </c>
      <c r="BB209" s="375" t="s">
        <v>386</v>
      </c>
      <c r="BC209" s="375" t="s">
        <v>386</v>
      </c>
      <c r="BD209" s="376" t="s">
        <v>386</v>
      </c>
      <c r="BE209" s="363" t="s">
        <v>386</v>
      </c>
      <c r="BF209" s="363" t="s">
        <v>386</v>
      </c>
      <c r="BG209" s="363" t="s">
        <v>386</v>
      </c>
      <c r="BH209" s="363" t="s">
        <v>386</v>
      </c>
      <c r="BI209" s="363" t="s">
        <v>386</v>
      </c>
      <c r="BJ209" s="374" t="s">
        <v>386</v>
      </c>
      <c r="BK209" s="375" t="s">
        <v>386</v>
      </c>
      <c r="BL209" s="375" t="s">
        <v>386</v>
      </c>
      <c r="BM209" s="375" t="s">
        <v>386</v>
      </c>
      <c r="BN209" s="376" t="s">
        <v>386</v>
      </c>
      <c r="BO209" s="375" t="s">
        <v>386</v>
      </c>
      <c r="BP209" s="375" t="s">
        <v>386</v>
      </c>
      <c r="BQ209" s="375" t="s">
        <v>386</v>
      </c>
      <c r="BR209" s="375" t="s">
        <v>386</v>
      </c>
      <c r="BS209" s="376" t="s">
        <v>386</v>
      </c>
      <c r="BT209" s="363" t="s">
        <v>386</v>
      </c>
      <c r="BU209" s="363" t="s">
        <v>386</v>
      </c>
      <c r="BV209" s="363" t="s">
        <v>386</v>
      </c>
      <c r="BW209" s="363" t="s">
        <v>386</v>
      </c>
      <c r="BX209" s="364" t="s">
        <v>386</v>
      </c>
      <c r="BY209" s="363" t="s">
        <v>386</v>
      </c>
      <c r="BZ209" s="363" t="s">
        <v>386</v>
      </c>
      <c r="CA209" s="363" t="s">
        <v>386</v>
      </c>
      <c r="CB209" s="363" t="s">
        <v>386</v>
      </c>
      <c r="CC209" s="363" t="s">
        <v>386</v>
      </c>
      <c r="CD209" s="374" t="s">
        <v>386</v>
      </c>
      <c r="CE209" s="375" t="s">
        <v>386</v>
      </c>
      <c r="CF209" s="375" t="s">
        <v>386</v>
      </c>
      <c r="CG209" s="375" t="s">
        <v>386</v>
      </c>
      <c r="CH209" s="376" t="s">
        <v>386</v>
      </c>
    </row>
    <row r="210" spans="1:86" x14ac:dyDescent="0.25">
      <c r="A210" s="223" t="s">
        <v>319</v>
      </c>
      <c r="B210" s="229">
        <v>42.019999999999996</v>
      </c>
      <c r="C210" s="220">
        <v>27.75</v>
      </c>
      <c r="D210" s="220">
        <v>40.159999999999997</v>
      </c>
      <c r="E210" s="220">
        <v>37.54</v>
      </c>
      <c r="F210" s="224">
        <v>46.85</v>
      </c>
      <c r="G210" s="220">
        <v>27.84</v>
      </c>
      <c r="H210" s="220">
        <v>20.8</v>
      </c>
      <c r="I210" s="220">
        <v>23.34</v>
      </c>
      <c r="J210" s="220">
        <v>41.58</v>
      </c>
      <c r="K210" s="220">
        <v>30.98</v>
      </c>
      <c r="L210" s="229" t="s">
        <v>386</v>
      </c>
      <c r="M210" s="220" t="s">
        <v>386</v>
      </c>
      <c r="N210" s="220" t="s">
        <v>386</v>
      </c>
      <c r="O210" s="220" t="s">
        <v>386</v>
      </c>
      <c r="P210" s="224" t="s">
        <v>386</v>
      </c>
      <c r="Q210" s="220">
        <v>55.38</v>
      </c>
      <c r="R210" s="220">
        <v>37.6</v>
      </c>
      <c r="S210" s="220">
        <v>41.48</v>
      </c>
      <c r="T210" s="220">
        <v>37.6</v>
      </c>
      <c r="U210" s="220">
        <v>57.21</v>
      </c>
      <c r="V210" s="229">
        <v>51.54</v>
      </c>
      <c r="W210" s="220">
        <v>48</v>
      </c>
      <c r="X210" s="220">
        <v>63.83</v>
      </c>
      <c r="Y210" s="220">
        <v>48</v>
      </c>
      <c r="Z210" s="224">
        <v>98.38</v>
      </c>
      <c r="AA210" s="220">
        <v>16.45</v>
      </c>
      <c r="AB210" s="220">
        <v>11.2</v>
      </c>
      <c r="AC210" s="220">
        <v>11.2</v>
      </c>
      <c r="AD210" s="220">
        <v>15.1</v>
      </c>
      <c r="AE210" s="220">
        <v>19.100000000000001</v>
      </c>
      <c r="AF210" s="229">
        <v>56.4</v>
      </c>
      <c r="AG210" s="220">
        <v>36.200000000000003</v>
      </c>
      <c r="AH210" s="220">
        <v>26.4</v>
      </c>
      <c r="AI210" s="220">
        <v>28.9</v>
      </c>
      <c r="AJ210" s="224">
        <v>52.95</v>
      </c>
      <c r="AK210" s="220">
        <v>1721</v>
      </c>
      <c r="AL210" s="220">
        <v>1455</v>
      </c>
      <c r="AM210" s="220">
        <v>2148.4499999999998</v>
      </c>
      <c r="AN210" s="220">
        <v>2213.44</v>
      </c>
      <c r="AO210" s="220">
        <v>1479.83</v>
      </c>
      <c r="AP210" s="229">
        <v>2034.99</v>
      </c>
      <c r="AQ210" s="220">
        <v>1883.1100000000001</v>
      </c>
      <c r="AR210" s="220">
        <v>1668.35</v>
      </c>
      <c r="AS210" s="220">
        <v>1863.3500000000001</v>
      </c>
      <c r="AT210" s="224">
        <v>1873.1299999999999</v>
      </c>
      <c r="AU210" s="220">
        <v>1781</v>
      </c>
      <c r="AV210" s="220">
        <v>1342.4</v>
      </c>
      <c r="AW210" s="220">
        <v>1909</v>
      </c>
      <c r="AX210" s="220">
        <v>2398</v>
      </c>
      <c r="AY210" s="220">
        <v>1603</v>
      </c>
      <c r="AZ210" s="374" t="s">
        <v>386</v>
      </c>
      <c r="BA210" s="375" t="s">
        <v>386</v>
      </c>
      <c r="BB210" s="375" t="s">
        <v>386</v>
      </c>
      <c r="BC210" s="375" t="s">
        <v>386</v>
      </c>
      <c r="BD210" s="376" t="s">
        <v>386</v>
      </c>
      <c r="BE210" s="220">
        <v>1038</v>
      </c>
      <c r="BF210" s="220">
        <v>859</v>
      </c>
      <c r="BG210" s="220">
        <v>871</v>
      </c>
      <c r="BH210" s="220">
        <v>1021</v>
      </c>
      <c r="BI210" s="220">
        <v>1033</v>
      </c>
      <c r="BJ210" s="374" t="s">
        <v>386</v>
      </c>
      <c r="BK210" s="375" t="s">
        <v>386</v>
      </c>
      <c r="BL210" s="375" t="s">
        <v>386</v>
      </c>
      <c r="BM210" s="375" t="s">
        <v>386</v>
      </c>
      <c r="BN210" s="376" t="s">
        <v>386</v>
      </c>
      <c r="BO210" s="375" t="s">
        <v>386</v>
      </c>
      <c r="BP210" s="375" t="s">
        <v>386</v>
      </c>
      <c r="BQ210" s="375" t="s">
        <v>386</v>
      </c>
      <c r="BR210" s="375" t="s">
        <v>386</v>
      </c>
      <c r="BS210" s="376" t="s">
        <v>386</v>
      </c>
      <c r="BT210" s="220" t="s">
        <v>386</v>
      </c>
      <c r="BU210" s="220" t="s">
        <v>386</v>
      </c>
      <c r="BV210" s="220" t="s">
        <v>386</v>
      </c>
      <c r="BW210" s="220" t="s">
        <v>386</v>
      </c>
      <c r="BX210" s="224" t="s">
        <v>386</v>
      </c>
      <c r="BY210" s="220">
        <v>1781</v>
      </c>
      <c r="BZ210" s="220">
        <v>1038</v>
      </c>
      <c r="CA210" s="220">
        <v>1909</v>
      </c>
      <c r="CB210" s="220">
        <v>2398</v>
      </c>
      <c r="CC210" s="220">
        <v>1603</v>
      </c>
      <c r="CD210" s="229">
        <v>1781</v>
      </c>
      <c r="CE210" s="220">
        <v>1038</v>
      </c>
      <c r="CF210" s="220">
        <v>1909</v>
      </c>
      <c r="CG210" s="220">
        <v>2398</v>
      </c>
      <c r="CH210" s="224">
        <v>1603</v>
      </c>
    </row>
    <row r="211" spans="1:86" x14ac:dyDescent="0.25">
      <c r="A211" s="223" t="s">
        <v>320</v>
      </c>
      <c r="B211" s="229">
        <v>33.380000000000003</v>
      </c>
      <c r="C211" s="220">
        <v>18.72</v>
      </c>
      <c r="D211" s="220">
        <v>24.7</v>
      </c>
      <c r="E211" s="220">
        <v>32.29</v>
      </c>
      <c r="F211" s="224">
        <v>26.560000000000002</v>
      </c>
      <c r="G211" s="363" t="s">
        <v>386</v>
      </c>
      <c r="H211" s="363" t="s">
        <v>386</v>
      </c>
      <c r="I211" s="363" t="s">
        <v>386</v>
      </c>
      <c r="J211" s="363" t="s">
        <v>386</v>
      </c>
      <c r="K211" s="363" t="s">
        <v>386</v>
      </c>
      <c r="L211" s="229">
        <v>105.07</v>
      </c>
      <c r="M211" s="220">
        <v>109.82</v>
      </c>
      <c r="N211" s="220">
        <v>102.68</v>
      </c>
      <c r="O211" s="220">
        <v>105.6</v>
      </c>
      <c r="P211" s="224">
        <v>105.6</v>
      </c>
      <c r="Q211" s="220">
        <v>29.3</v>
      </c>
      <c r="R211" s="220">
        <v>21.6</v>
      </c>
      <c r="S211" s="220">
        <v>29.3</v>
      </c>
      <c r="T211" s="220">
        <v>41.1</v>
      </c>
      <c r="U211" s="220">
        <v>27.7</v>
      </c>
      <c r="V211" s="229">
        <v>46.6</v>
      </c>
      <c r="W211" s="220">
        <v>28.1</v>
      </c>
      <c r="X211" s="220">
        <v>24</v>
      </c>
      <c r="Y211" s="220">
        <v>75.3</v>
      </c>
      <c r="Z211" s="224">
        <v>68.099999999999994</v>
      </c>
      <c r="AA211" s="363" t="s">
        <v>386</v>
      </c>
      <c r="AB211" s="363" t="s">
        <v>386</v>
      </c>
      <c r="AC211" s="363" t="s">
        <v>386</v>
      </c>
      <c r="AD211" s="363" t="s">
        <v>386</v>
      </c>
      <c r="AE211" s="363" t="s">
        <v>386</v>
      </c>
      <c r="AF211" s="229">
        <v>42.7</v>
      </c>
      <c r="AG211" s="220">
        <v>38</v>
      </c>
      <c r="AH211" s="220">
        <v>33.5</v>
      </c>
      <c r="AI211" s="220">
        <v>47.1</v>
      </c>
      <c r="AJ211" s="224">
        <v>52.8</v>
      </c>
      <c r="AK211" s="363" t="s">
        <v>386</v>
      </c>
      <c r="AL211" s="363" t="s">
        <v>386</v>
      </c>
      <c r="AM211" s="363" t="s">
        <v>386</v>
      </c>
      <c r="AN211" s="363" t="s">
        <v>386</v>
      </c>
      <c r="AO211" s="363" t="s">
        <v>386</v>
      </c>
      <c r="AP211" s="362">
        <v>1341.67</v>
      </c>
      <c r="AQ211" s="363">
        <v>1414.92</v>
      </c>
      <c r="AR211" s="363">
        <v>1252.28</v>
      </c>
      <c r="AS211" s="363">
        <v>1294.45</v>
      </c>
      <c r="AT211" s="364">
        <v>1382.46</v>
      </c>
      <c r="AU211" s="363" t="s">
        <v>386</v>
      </c>
      <c r="AV211" s="363" t="s">
        <v>386</v>
      </c>
      <c r="AW211" s="363" t="s">
        <v>386</v>
      </c>
      <c r="AX211" s="363" t="s">
        <v>386</v>
      </c>
      <c r="AY211" s="363" t="s">
        <v>386</v>
      </c>
      <c r="AZ211" s="374" t="s">
        <v>386</v>
      </c>
      <c r="BA211" s="375" t="s">
        <v>386</v>
      </c>
      <c r="BB211" s="375" t="s">
        <v>386</v>
      </c>
      <c r="BC211" s="375" t="s">
        <v>386</v>
      </c>
      <c r="BD211" s="376" t="s">
        <v>386</v>
      </c>
      <c r="BE211" s="220">
        <v>770.1</v>
      </c>
      <c r="BF211" s="220">
        <v>813.36</v>
      </c>
      <c r="BG211" s="220">
        <v>729.02</v>
      </c>
      <c r="BH211" s="220">
        <v>899</v>
      </c>
      <c r="BI211" s="220">
        <v>988.85</v>
      </c>
      <c r="BJ211" s="374" t="s">
        <v>386</v>
      </c>
      <c r="BK211" s="375" t="s">
        <v>386</v>
      </c>
      <c r="BL211" s="375" t="s">
        <v>386</v>
      </c>
      <c r="BM211" s="375" t="s">
        <v>386</v>
      </c>
      <c r="BN211" s="376" t="s">
        <v>386</v>
      </c>
      <c r="BO211" s="375" t="s">
        <v>386</v>
      </c>
      <c r="BP211" s="375" t="s">
        <v>386</v>
      </c>
      <c r="BQ211" s="375" t="s">
        <v>386</v>
      </c>
      <c r="BR211" s="375" t="s">
        <v>386</v>
      </c>
      <c r="BS211" s="376" t="s">
        <v>386</v>
      </c>
      <c r="BT211" s="363" t="s">
        <v>386</v>
      </c>
      <c r="BU211" s="363" t="s">
        <v>386</v>
      </c>
      <c r="BV211" s="363" t="s">
        <v>386</v>
      </c>
      <c r="BW211" s="363" t="s">
        <v>386</v>
      </c>
      <c r="BX211" s="364" t="s">
        <v>386</v>
      </c>
      <c r="BY211" s="363" t="s">
        <v>386</v>
      </c>
      <c r="BZ211" s="363" t="s">
        <v>386</v>
      </c>
      <c r="CA211" s="363" t="s">
        <v>386</v>
      </c>
      <c r="CB211" s="363" t="s">
        <v>386</v>
      </c>
      <c r="CC211" s="363" t="s">
        <v>386</v>
      </c>
      <c r="CD211" s="362" t="s">
        <v>386</v>
      </c>
      <c r="CE211" s="363" t="s">
        <v>386</v>
      </c>
      <c r="CF211" s="363" t="s">
        <v>386</v>
      </c>
      <c r="CG211" s="363" t="s">
        <v>386</v>
      </c>
      <c r="CH211" s="364" t="s">
        <v>386</v>
      </c>
    </row>
    <row r="212" spans="1:86" x14ac:dyDescent="0.25">
      <c r="A212" s="223" t="s">
        <v>321</v>
      </c>
      <c r="B212" s="229">
        <v>63.230000000000004</v>
      </c>
      <c r="C212" s="220">
        <v>54.57</v>
      </c>
      <c r="D212" s="220">
        <v>62.48</v>
      </c>
      <c r="E212" s="220">
        <v>46.87</v>
      </c>
      <c r="F212" s="224">
        <v>84.28</v>
      </c>
      <c r="G212" s="220">
        <v>49.32</v>
      </c>
      <c r="H212" s="220">
        <v>43.589999999999996</v>
      </c>
      <c r="I212" s="220">
        <v>37.120000000000005</v>
      </c>
      <c r="J212" s="220">
        <v>42.8</v>
      </c>
      <c r="K212" s="220">
        <v>40.090000000000003</v>
      </c>
      <c r="L212" s="229">
        <v>186.19</v>
      </c>
      <c r="M212" s="220">
        <v>136.79</v>
      </c>
      <c r="N212" s="220">
        <v>116.92</v>
      </c>
      <c r="O212" s="220">
        <v>172.01</v>
      </c>
      <c r="P212" s="224">
        <v>169.39000000000001</v>
      </c>
      <c r="Q212" s="220">
        <v>42.3</v>
      </c>
      <c r="R212" s="220">
        <v>40</v>
      </c>
      <c r="S212" s="220">
        <v>46.5</v>
      </c>
      <c r="T212" s="220">
        <v>47.3</v>
      </c>
      <c r="U212" s="220">
        <v>41.8</v>
      </c>
      <c r="V212" s="229">
        <v>116.31</v>
      </c>
      <c r="W212" s="220">
        <v>63.2</v>
      </c>
      <c r="X212" s="220">
        <v>68.2</v>
      </c>
      <c r="Y212" s="220">
        <v>63.2</v>
      </c>
      <c r="Z212" s="224">
        <v>78.010000000000005</v>
      </c>
      <c r="AA212" s="363" t="s">
        <v>386</v>
      </c>
      <c r="AB212" s="363" t="s">
        <v>386</v>
      </c>
      <c r="AC212" s="363" t="s">
        <v>386</v>
      </c>
      <c r="AD212" s="363" t="s">
        <v>386</v>
      </c>
      <c r="AE212" s="363" t="s">
        <v>386</v>
      </c>
      <c r="AF212" s="229">
        <v>93.7</v>
      </c>
      <c r="AG212" s="220">
        <v>73.760000000000005</v>
      </c>
      <c r="AH212" s="220">
        <v>78.739999999999995</v>
      </c>
      <c r="AI212" s="220">
        <v>94.42</v>
      </c>
      <c r="AJ212" s="224">
        <v>94.41</v>
      </c>
      <c r="AK212" s="363" t="s">
        <v>386</v>
      </c>
      <c r="AL212" s="363" t="s">
        <v>386</v>
      </c>
      <c r="AM212" s="363" t="s">
        <v>386</v>
      </c>
      <c r="AN212" s="363" t="s">
        <v>386</v>
      </c>
      <c r="AO212" s="363" t="s">
        <v>386</v>
      </c>
      <c r="AP212" s="229">
        <v>2336</v>
      </c>
      <c r="AQ212" s="220">
        <v>2850</v>
      </c>
      <c r="AR212" s="220">
        <v>2573</v>
      </c>
      <c r="AS212" s="220">
        <v>2638</v>
      </c>
      <c r="AT212" s="224">
        <v>2186</v>
      </c>
      <c r="AU212" s="363" t="s">
        <v>386</v>
      </c>
      <c r="AV212" s="363" t="s">
        <v>386</v>
      </c>
      <c r="AW212" s="363" t="s">
        <v>386</v>
      </c>
      <c r="AX212" s="363" t="s">
        <v>386</v>
      </c>
      <c r="AY212" s="363" t="s">
        <v>386</v>
      </c>
      <c r="AZ212" s="374" t="s">
        <v>386</v>
      </c>
      <c r="BA212" s="375" t="s">
        <v>386</v>
      </c>
      <c r="BB212" s="375" t="s">
        <v>386</v>
      </c>
      <c r="BC212" s="375" t="s">
        <v>386</v>
      </c>
      <c r="BD212" s="376" t="s">
        <v>386</v>
      </c>
      <c r="BE212" s="363" t="s">
        <v>386</v>
      </c>
      <c r="BF212" s="363" t="s">
        <v>386</v>
      </c>
      <c r="BG212" s="363" t="s">
        <v>386</v>
      </c>
      <c r="BH212" s="363" t="s">
        <v>386</v>
      </c>
      <c r="BI212" s="363" t="s">
        <v>386</v>
      </c>
      <c r="BJ212" s="374" t="s">
        <v>386</v>
      </c>
      <c r="BK212" s="375" t="s">
        <v>386</v>
      </c>
      <c r="BL212" s="375" t="s">
        <v>386</v>
      </c>
      <c r="BM212" s="375" t="s">
        <v>386</v>
      </c>
      <c r="BN212" s="376" t="s">
        <v>386</v>
      </c>
      <c r="BO212" s="375" t="s">
        <v>386</v>
      </c>
      <c r="BP212" s="375" t="s">
        <v>386</v>
      </c>
      <c r="BQ212" s="375" t="s">
        <v>386</v>
      </c>
      <c r="BR212" s="375" t="s">
        <v>386</v>
      </c>
      <c r="BS212" s="376" t="s">
        <v>386</v>
      </c>
      <c r="BT212" s="363" t="s">
        <v>386</v>
      </c>
      <c r="BU212" s="363" t="s">
        <v>386</v>
      </c>
      <c r="BV212" s="363" t="s">
        <v>386</v>
      </c>
      <c r="BW212" s="363" t="s">
        <v>386</v>
      </c>
      <c r="BX212" s="364" t="s">
        <v>386</v>
      </c>
      <c r="BY212" s="363" t="s">
        <v>386</v>
      </c>
      <c r="BZ212" s="363" t="s">
        <v>386</v>
      </c>
      <c r="CA212" s="363" t="s">
        <v>386</v>
      </c>
      <c r="CB212" s="363" t="s">
        <v>386</v>
      </c>
      <c r="CC212" s="363" t="s">
        <v>386</v>
      </c>
      <c r="CD212" s="362" t="s">
        <v>386</v>
      </c>
      <c r="CE212" s="363" t="s">
        <v>386</v>
      </c>
      <c r="CF212" s="363" t="s">
        <v>386</v>
      </c>
      <c r="CG212" s="363" t="s">
        <v>386</v>
      </c>
      <c r="CH212" s="364" t="s">
        <v>386</v>
      </c>
    </row>
    <row r="213" spans="1:86" x14ac:dyDescent="0.25">
      <c r="A213" s="223" t="s">
        <v>322</v>
      </c>
      <c r="B213" s="229">
        <v>65.59</v>
      </c>
      <c r="C213" s="220">
        <v>50.54</v>
      </c>
      <c r="D213" s="220">
        <v>58.67</v>
      </c>
      <c r="E213" s="220">
        <v>55.39</v>
      </c>
      <c r="F213" s="224">
        <v>63.29</v>
      </c>
      <c r="G213" s="220">
        <v>45.53</v>
      </c>
      <c r="H213" s="220">
        <v>43.16</v>
      </c>
      <c r="I213" s="220">
        <v>44.510000000000005</v>
      </c>
      <c r="J213" s="220">
        <v>51.61</v>
      </c>
      <c r="K213" s="220">
        <v>43.61</v>
      </c>
      <c r="L213" s="229">
        <v>187.72</v>
      </c>
      <c r="M213" s="220">
        <v>172.81</v>
      </c>
      <c r="N213" s="220">
        <v>182.04</v>
      </c>
      <c r="O213" s="220">
        <v>182.54</v>
      </c>
      <c r="P213" s="224">
        <v>196.68</v>
      </c>
      <c r="Q213" s="220">
        <v>59.1</v>
      </c>
      <c r="R213" s="220">
        <v>36.5</v>
      </c>
      <c r="S213" s="220">
        <v>63.8</v>
      </c>
      <c r="T213" s="220">
        <v>57.9</v>
      </c>
      <c r="U213" s="220">
        <v>64.3</v>
      </c>
      <c r="V213" s="229">
        <v>95.02</v>
      </c>
      <c r="W213" s="220">
        <v>64.8</v>
      </c>
      <c r="X213" s="220">
        <v>91.22</v>
      </c>
      <c r="Y213" s="220">
        <v>71.97</v>
      </c>
      <c r="Z213" s="224">
        <v>91.38</v>
      </c>
      <c r="AA213" s="220">
        <v>18.2</v>
      </c>
      <c r="AB213" s="220">
        <v>12.8</v>
      </c>
      <c r="AC213" s="220">
        <v>14.9</v>
      </c>
      <c r="AD213" s="220">
        <v>14.4</v>
      </c>
      <c r="AE213" s="220">
        <v>16.5</v>
      </c>
      <c r="AF213" s="229">
        <v>90</v>
      </c>
      <c r="AG213" s="220">
        <v>40</v>
      </c>
      <c r="AH213" s="220">
        <v>74.3</v>
      </c>
      <c r="AI213" s="220">
        <v>87.5</v>
      </c>
      <c r="AJ213" s="224">
        <v>101.2</v>
      </c>
      <c r="AK213" s="220">
        <v>1721</v>
      </c>
      <c r="AL213" s="220">
        <v>1455</v>
      </c>
      <c r="AM213" s="220">
        <v>2148.4499999999998</v>
      </c>
      <c r="AN213" s="220">
        <v>2213.44</v>
      </c>
      <c r="AO213" s="220">
        <v>1969.88</v>
      </c>
      <c r="AP213" s="229">
        <v>2445</v>
      </c>
      <c r="AQ213" s="220">
        <v>1918</v>
      </c>
      <c r="AR213" s="220">
        <v>2717</v>
      </c>
      <c r="AS213" s="220">
        <v>2523</v>
      </c>
      <c r="AT213" s="224">
        <v>1926</v>
      </c>
      <c r="AU213" s="363" t="s">
        <v>386</v>
      </c>
      <c r="AV213" s="363" t="s">
        <v>386</v>
      </c>
      <c r="AW213" s="363" t="s">
        <v>386</v>
      </c>
      <c r="AX213" s="363" t="s">
        <v>386</v>
      </c>
      <c r="AY213" s="363" t="s">
        <v>386</v>
      </c>
      <c r="AZ213" s="374" t="s">
        <v>386</v>
      </c>
      <c r="BA213" s="375" t="s">
        <v>386</v>
      </c>
      <c r="BB213" s="375" t="s">
        <v>386</v>
      </c>
      <c r="BC213" s="375" t="s">
        <v>386</v>
      </c>
      <c r="BD213" s="376" t="s">
        <v>386</v>
      </c>
      <c r="BE213" s="363" t="s">
        <v>386</v>
      </c>
      <c r="BF213" s="363" t="s">
        <v>386</v>
      </c>
      <c r="BG213" s="363" t="s">
        <v>386</v>
      </c>
      <c r="BH213" s="363" t="s">
        <v>386</v>
      </c>
      <c r="BI213" s="363" t="s">
        <v>386</v>
      </c>
      <c r="BJ213" s="374" t="s">
        <v>386</v>
      </c>
      <c r="BK213" s="375" t="s">
        <v>386</v>
      </c>
      <c r="BL213" s="375" t="s">
        <v>386</v>
      </c>
      <c r="BM213" s="375" t="s">
        <v>386</v>
      </c>
      <c r="BN213" s="376" t="s">
        <v>386</v>
      </c>
      <c r="BO213" s="375" t="s">
        <v>386</v>
      </c>
      <c r="BP213" s="375" t="s">
        <v>386</v>
      </c>
      <c r="BQ213" s="375" t="s">
        <v>386</v>
      </c>
      <c r="BR213" s="375" t="s">
        <v>386</v>
      </c>
      <c r="BS213" s="376" t="s">
        <v>386</v>
      </c>
      <c r="BT213" s="363" t="s">
        <v>386</v>
      </c>
      <c r="BU213" s="363" t="s">
        <v>386</v>
      </c>
      <c r="BV213" s="363" t="s">
        <v>386</v>
      </c>
      <c r="BW213" s="363" t="s">
        <v>386</v>
      </c>
      <c r="BX213" s="364" t="s">
        <v>386</v>
      </c>
      <c r="BY213" s="363" t="s">
        <v>386</v>
      </c>
      <c r="BZ213" s="363" t="s">
        <v>386</v>
      </c>
      <c r="CA213" s="363" t="s">
        <v>386</v>
      </c>
      <c r="CB213" s="363" t="s">
        <v>386</v>
      </c>
      <c r="CC213" s="363" t="s">
        <v>386</v>
      </c>
      <c r="CD213" s="362" t="s">
        <v>386</v>
      </c>
      <c r="CE213" s="363" t="s">
        <v>386</v>
      </c>
      <c r="CF213" s="363" t="s">
        <v>386</v>
      </c>
      <c r="CG213" s="363" t="s">
        <v>386</v>
      </c>
      <c r="CH213" s="364" t="s">
        <v>386</v>
      </c>
    </row>
    <row r="214" spans="1:86" x14ac:dyDescent="0.25">
      <c r="A214" s="223" t="s">
        <v>323</v>
      </c>
      <c r="B214" s="229">
        <v>66.290000000000006</v>
      </c>
      <c r="C214" s="220">
        <v>58.25</v>
      </c>
      <c r="D214" s="220">
        <v>70.72</v>
      </c>
      <c r="E214" s="220">
        <v>62.06</v>
      </c>
      <c r="F214" s="224">
        <v>62.78</v>
      </c>
      <c r="G214" s="220">
        <v>51.42</v>
      </c>
      <c r="H214" s="220">
        <v>53.82</v>
      </c>
      <c r="I214" s="220">
        <v>48.22</v>
      </c>
      <c r="J214" s="220">
        <v>49.660000000000004</v>
      </c>
      <c r="K214" s="220">
        <v>49.440000000000005</v>
      </c>
      <c r="L214" s="229">
        <v>197.51999999999998</v>
      </c>
      <c r="M214" s="220">
        <v>191.72</v>
      </c>
      <c r="N214" s="220">
        <v>188.85999999999999</v>
      </c>
      <c r="O214" s="220">
        <v>186.71</v>
      </c>
      <c r="P214" s="224">
        <v>192.14000000000001</v>
      </c>
      <c r="Q214" s="220">
        <v>71.8</v>
      </c>
      <c r="R214" s="220">
        <v>58.1</v>
      </c>
      <c r="S214" s="220">
        <v>53.8</v>
      </c>
      <c r="T214" s="220">
        <v>50.8</v>
      </c>
      <c r="U214" s="220">
        <v>48</v>
      </c>
      <c r="V214" s="229">
        <v>96.85</v>
      </c>
      <c r="W214" s="220">
        <v>80</v>
      </c>
      <c r="X214" s="220">
        <v>114.67</v>
      </c>
      <c r="Y214" s="220">
        <v>100.88</v>
      </c>
      <c r="Z214" s="224">
        <v>106.18</v>
      </c>
      <c r="AA214" s="220">
        <v>17</v>
      </c>
      <c r="AB214" s="220">
        <v>13.6</v>
      </c>
      <c r="AC214" s="220">
        <v>13.6</v>
      </c>
      <c r="AD214" s="220">
        <v>14.7</v>
      </c>
      <c r="AE214" s="220">
        <v>15.4</v>
      </c>
      <c r="AF214" s="229">
        <v>74</v>
      </c>
      <c r="AG214" s="220">
        <v>53</v>
      </c>
      <c r="AH214" s="220">
        <v>80.099999999999994</v>
      </c>
      <c r="AI214" s="220">
        <v>102.9</v>
      </c>
      <c r="AJ214" s="224">
        <v>100.5</v>
      </c>
      <c r="AK214" s="363" t="s">
        <v>386</v>
      </c>
      <c r="AL214" s="363" t="s">
        <v>386</v>
      </c>
      <c r="AM214" s="363" t="s">
        <v>386</v>
      </c>
      <c r="AN214" s="363" t="s">
        <v>386</v>
      </c>
      <c r="AO214" s="363" t="s">
        <v>386</v>
      </c>
      <c r="AP214" s="229">
        <v>2184</v>
      </c>
      <c r="AQ214" s="220">
        <v>2075</v>
      </c>
      <c r="AR214" s="220">
        <v>2553</v>
      </c>
      <c r="AS214" s="220">
        <v>2381</v>
      </c>
      <c r="AT214" s="224">
        <v>1943</v>
      </c>
      <c r="AU214" s="363" t="s">
        <v>386</v>
      </c>
      <c r="AV214" s="363" t="s">
        <v>386</v>
      </c>
      <c r="AW214" s="363" t="s">
        <v>386</v>
      </c>
      <c r="AX214" s="363" t="s">
        <v>386</v>
      </c>
      <c r="AY214" s="363" t="s">
        <v>386</v>
      </c>
      <c r="AZ214" s="374" t="s">
        <v>386</v>
      </c>
      <c r="BA214" s="375" t="s">
        <v>386</v>
      </c>
      <c r="BB214" s="375" t="s">
        <v>386</v>
      </c>
      <c r="BC214" s="375" t="s">
        <v>386</v>
      </c>
      <c r="BD214" s="376" t="s">
        <v>386</v>
      </c>
      <c r="BE214" s="363" t="s">
        <v>386</v>
      </c>
      <c r="BF214" s="363" t="s">
        <v>386</v>
      </c>
      <c r="BG214" s="363" t="s">
        <v>386</v>
      </c>
      <c r="BH214" s="363" t="s">
        <v>386</v>
      </c>
      <c r="BI214" s="363" t="s">
        <v>386</v>
      </c>
      <c r="BJ214" s="374" t="s">
        <v>386</v>
      </c>
      <c r="BK214" s="375" t="s">
        <v>386</v>
      </c>
      <c r="BL214" s="375" t="s">
        <v>386</v>
      </c>
      <c r="BM214" s="375" t="s">
        <v>386</v>
      </c>
      <c r="BN214" s="376" t="s">
        <v>386</v>
      </c>
      <c r="BO214" s="375" t="s">
        <v>386</v>
      </c>
      <c r="BP214" s="375" t="s">
        <v>386</v>
      </c>
      <c r="BQ214" s="375" t="s">
        <v>386</v>
      </c>
      <c r="BR214" s="375" t="s">
        <v>386</v>
      </c>
      <c r="BS214" s="376" t="s">
        <v>386</v>
      </c>
      <c r="BT214" s="363" t="s">
        <v>386</v>
      </c>
      <c r="BU214" s="363" t="s">
        <v>386</v>
      </c>
      <c r="BV214" s="363" t="s">
        <v>386</v>
      </c>
      <c r="BW214" s="363" t="s">
        <v>386</v>
      </c>
      <c r="BX214" s="364" t="s">
        <v>386</v>
      </c>
      <c r="BY214" s="363" t="s">
        <v>386</v>
      </c>
      <c r="BZ214" s="363" t="s">
        <v>386</v>
      </c>
      <c r="CA214" s="363" t="s">
        <v>386</v>
      </c>
      <c r="CB214" s="363" t="s">
        <v>386</v>
      </c>
      <c r="CC214" s="363" t="s">
        <v>386</v>
      </c>
      <c r="CD214" s="374" t="s">
        <v>386</v>
      </c>
      <c r="CE214" s="375" t="s">
        <v>386</v>
      </c>
      <c r="CF214" s="375" t="s">
        <v>386</v>
      </c>
      <c r="CG214" s="375" t="s">
        <v>386</v>
      </c>
      <c r="CH214" s="376" t="s">
        <v>386</v>
      </c>
    </row>
    <row r="215" spans="1:86" x14ac:dyDescent="0.25">
      <c r="A215" s="223" t="s">
        <v>324</v>
      </c>
      <c r="B215" s="229">
        <v>47.18</v>
      </c>
      <c r="C215" s="220">
        <v>32.049999999999997</v>
      </c>
      <c r="D215" s="220">
        <v>33.770000000000003</v>
      </c>
      <c r="E215" s="220">
        <v>30.59</v>
      </c>
      <c r="F215" s="224">
        <v>55.489999999999995</v>
      </c>
      <c r="G215" s="220">
        <v>28.64</v>
      </c>
      <c r="H215" s="220">
        <v>23.87</v>
      </c>
      <c r="I215" s="220">
        <v>27.74</v>
      </c>
      <c r="J215" s="220">
        <v>36.340000000000003</v>
      </c>
      <c r="K215" s="220">
        <v>39.450000000000003</v>
      </c>
      <c r="L215" s="229">
        <v>105.94</v>
      </c>
      <c r="M215" s="220">
        <v>75.399999999999991</v>
      </c>
      <c r="N215" s="220">
        <v>74.239999999999995</v>
      </c>
      <c r="O215" s="220">
        <v>114.2</v>
      </c>
      <c r="P215" s="224">
        <v>111.80999999999999</v>
      </c>
      <c r="Q215" s="220">
        <v>50.6</v>
      </c>
      <c r="R215" s="220">
        <v>27.2</v>
      </c>
      <c r="S215" s="220">
        <v>69.7</v>
      </c>
      <c r="T215" s="220">
        <v>27.2</v>
      </c>
      <c r="U215" s="220">
        <v>78.400000000000006</v>
      </c>
      <c r="V215" s="229">
        <v>57.6</v>
      </c>
      <c r="W215" s="220">
        <v>44</v>
      </c>
      <c r="X215" s="220">
        <v>47.21</v>
      </c>
      <c r="Y215" s="220">
        <v>44</v>
      </c>
      <c r="Z215" s="224">
        <v>94.38</v>
      </c>
      <c r="AA215" s="220">
        <v>16.7</v>
      </c>
      <c r="AB215" s="220">
        <v>8.8000000000000007</v>
      </c>
      <c r="AC215" s="220">
        <v>15.4</v>
      </c>
      <c r="AD215" s="220">
        <v>15.7</v>
      </c>
      <c r="AE215" s="220">
        <v>17.100000000000001</v>
      </c>
      <c r="AF215" s="229">
        <v>63</v>
      </c>
      <c r="AG215" s="220">
        <v>39.200000000000003</v>
      </c>
      <c r="AH215" s="220">
        <v>39.200000000000003</v>
      </c>
      <c r="AI215" s="220">
        <v>64.040000000000006</v>
      </c>
      <c r="AJ215" s="224">
        <v>63.81</v>
      </c>
      <c r="AK215" s="220">
        <v>1721</v>
      </c>
      <c r="AL215" s="220">
        <v>1455</v>
      </c>
      <c r="AM215" s="220">
        <v>2148.4499999999998</v>
      </c>
      <c r="AN215" s="220">
        <v>2213.44</v>
      </c>
      <c r="AO215" s="220">
        <v>1969.88</v>
      </c>
      <c r="AP215" s="229">
        <v>2058.81</v>
      </c>
      <c r="AQ215" s="220">
        <v>1961.05</v>
      </c>
      <c r="AR215" s="220">
        <v>1533.04</v>
      </c>
      <c r="AS215" s="220">
        <v>1920.65</v>
      </c>
      <c r="AT215" s="224">
        <v>1951.75</v>
      </c>
      <c r="AU215" s="363">
        <v>2192</v>
      </c>
      <c r="AV215" s="363">
        <v>1008</v>
      </c>
      <c r="AW215" s="363">
        <v>1230</v>
      </c>
      <c r="AX215" s="363">
        <v>2052</v>
      </c>
      <c r="AY215" s="363">
        <v>1746</v>
      </c>
      <c r="AZ215" s="374" t="s">
        <v>386</v>
      </c>
      <c r="BA215" s="375" t="s">
        <v>386</v>
      </c>
      <c r="BB215" s="375" t="s">
        <v>386</v>
      </c>
      <c r="BC215" s="375" t="s">
        <v>386</v>
      </c>
      <c r="BD215" s="376" t="s">
        <v>386</v>
      </c>
      <c r="BE215" s="363" t="s">
        <v>386</v>
      </c>
      <c r="BF215" s="363" t="s">
        <v>386</v>
      </c>
      <c r="BG215" s="363" t="s">
        <v>386</v>
      </c>
      <c r="BH215" s="363" t="s">
        <v>386</v>
      </c>
      <c r="BI215" s="363" t="s">
        <v>386</v>
      </c>
      <c r="BJ215" s="374" t="s">
        <v>386</v>
      </c>
      <c r="BK215" s="375" t="s">
        <v>386</v>
      </c>
      <c r="BL215" s="375" t="s">
        <v>386</v>
      </c>
      <c r="BM215" s="375" t="s">
        <v>386</v>
      </c>
      <c r="BN215" s="376" t="s">
        <v>386</v>
      </c>
      <c r="BO215" s="375" t="s">
        <v>386</v>
      </c>
      <c r="BP215" s="375" t="s">
        <v>386</v>
      </c>
      <c r="BQ215" s="375" t="s">
        <v>386</v>
      </c>
      <c r="BR215" s="375" t="s">
        <v>386</v>
      </c>
      <c r="BS215" s="376" t="s">
        <v>386</v>
      </c>
      <c r="BT215" s="220" t="s">
        <v>386</v>
      </c>
      <c r="BU215" s="220" t="s">
        <v>386</v>
      </c>
      <c r="BV215" s="220" t="s">
        <v>386</v>
      </c>
      <c r="BW215" s="220" t="s">
        <v>386</v>
      </c>
      <c r="BX215" s="224" t="s">
        <v>386</v>
      </c>
      <c r="BY215" s="220">
        <v>2192</v>
      </c>
      <c r="BZ215" s="220">
        <v>680</v>
      </c>
      <c r="CA215" s="220">
        <v>1230</v>
      </c>
      <c r="CB215" s="220">
        <v>2052</v>
      </c>
      <c r="CC215" s="220">
        <v>2255.66</v>
      </c>
      <c r="CD215" s="229">
        <v>2192</v>
      </c>
      <c r="CE215" s="220">
        <v>680</v>
      </c>
      <c r="CF215" s="220">
        <v>1230</v>
      </c>
      <c r="CG215" s="220">
        <v>2052</v>
      </c>
      <c r="CH215" s="224">
        <v>1746</v>
      </c>
    </row>
    <row r="216" spans="1:86" x14ac:dyDescent="0.25">
      <c r="A216" s="223" t="s">
        <v>325</v>
      </c>
      <c r="B216" s="229">
        <v>73.23</v>
      </c>
      <c r="C216" s="220">
        <v>63.64</v>
      </c>
      <c r="D216" s="220">
        <v>66.81</v>
      </c>
      <c r="E216" s="220">
        <v>46.13</v>
      </c>
      <c r="F216" s="224">
        <v>81.210000000000008</v>
      </c>
      <c r="G216" s="220">
        <v>55.15</v>
      </c>
      <c r="H216" s="220">
        <v>43.709999999999994</v>
      </c>
      <c r="I216" s="220">
        <v>38.950000000000003</v>
      </c>
      <c r="J216" s="220">
        <v>44.300000000000004</v>
      </c>
      <c r="K216" s="220">
        <v>43.760000000000005</v>
      </c>
      <c r="L216" s="229">
        <v>200.64000000000001</v>
      </c>
      <c r="M216" s="220">
        <v>147.56</v>
      </c>
      <c r="N216" s="220">
        <v>119.42999999999999</v>
      </c>
      <c r="O216" s="220">
        <v>164.01</v>
      </c>
      <c r="P216" s="224">
        <v>160.98000000000002</v>
      </c>
      <c r="Q216" s="220">
        <v>42.3</v>
      </c>
      <c r="R216" s="220">
        <v>40.799999999999997</v>
      </c>
      <c r="S216" s="220">
        <v>46.5</v>
      </c>
      <c r="T216" s="220">
        <v>47.3</v>
      </c>
      <c r="U216" s="220">
        <v>41.8</v>
      </c>
      <c r="V216" s="229">
        <v>64.8</v>
      </c>
      <c r="W216" s="220">
        <v>64.8</v>
      </c>
      <c r="X216" s="220">
        <v>87.15</v>
      </c>
      <c r="Y216" s="220">
        <v>64.8</v>
      </c>
      <c r="Z216" s="224">
        <v>104.67</v>
      </c>
      <c r="AA216" s="363" t="s">
        <v>386</v>
      </c>
      <c r="AB216" s="363" t="s">
        <v>386</v>
      </c>
      <c r="AC216" s="363" t="s">
        <v>386</v>
      </c>
      <c r="AD216" s="363" t="s">
        <v>386</v>
      </c>
      <c r="AE216" s="363" t="s">
        <v>386</v>
      </c>
      <c r="AF216" s="229">
        <v>99.16</v>
      </c>
      <c r="AG216" s="220">
        <v>108.91</v>
      </c>
      <c r="AH216" s="220">
        <v>91.62</v>
      </c>
      <c r="AI216" s="220">
        <v>125.62</v>
      </c>
      <c r="AJ216" s="224">
        <v>121.58</v>
      </c>
      <c r="AK216" s="363" t="s">
        <v>386</v>
      </c>
      <c r="AL216" s="363" t="s">
        <v>386</v>
      </c>
      <c r="AM216" s="363" t="s">
        <v>386</v>
      </c>
      <c r="AN216" s="363" t="s">
        <v>386</v>
      </c>
      <c r="AO216" s="363" t="s">
        <v>386</v>
      </c>
      <c r="AP216" s="229">
        <v>2244</v>
      </c>
      <c r="AQ216" s="220">
        <v>2030</v>
      </c>
      <c r="AR216" s="220">
        <v>2015.2</v>
      </c>
      <c r="AS216" s="220">
        <v>2036</v>
      </c>
      <c r="AT216" s="224">
        <v>2015.2</v>
      </c>
      <c r="AU216" s="363" t="s">
        <v>386</v>
      </c>
      <c r="AV216" s="363" t="s">
        <v>386</v>
      </c>
      <c r="AW216" s="363" t="s">
        <v>386</v>
      </c>
      <c r="AX216" s="363" t="s">
        <v>386</v>
      </c>
      <c r="AY216" s="363" t="s">
        <v>386</v>
      </c>
      <c r="AZ216" s="229" t="s">
        <v>386</v>
      </c>
      <c r="BA216" s="220" t="s">
        <v>386</v>
      </c>
      <c r="BB216" s="220" t="s">
        <v>386</v>
      </c>
      <c r="BC216" s="220" t="s">
        <v>386</v>
      </c>
      <c r="BD216" s="224" t="s">
        <v>386</v>
      </c>
      <c r="BE216" s="363" t="s">
        <v>386</v>
      </c>
      <c r="BF216" s="363" t="s">
        <v>386</v>
      </c>
      <c r="BG216" s="363" t="s">
        <v>386</v>
      </c>
      <c r="BH216" s="363" t="s">
        <v>386</v>
      </c>
      <c r="BI216" s="363" t="s">
        <v>386</v>
      </c>
      <c r="BJ216" s="374" t="s">
        <v>386</v>
      </c>
      <c r="BK216" s="375" t="s">
        <v>386</v>
      </c>
      <c r="BL216" s="375" t="s">
        <v>386</v>
      </c>
      <c r="BM216" s="375" t="s">
        <v>386</v>
      </c>
      <c r="BN216" s="376" t="s">
        <v>386</v>
      </c>
      <c r="BO216" s="375" t="s">
        <v>386</v>
      </c>
      <c r="BP216" s="375" t="s">
        <v>386</v>
      </c>
      <c r="BQ216" s="375" t="s">
        <v>386</v>
      </c>
      <c r="BR216" s="375" t="s">
        <v>386</v>
      </c>
      <c r="BS216" s="376" t="s">
        <v>386</v>
      </c>
      <c r="BT216" s="363" t="s">
        <v>386</v>
      </c>
      <c r="BU216" s="363" t="s">
        <v>386</v>
      </c>
      <c r="BV216" s="363" t="s">
        <v>386</v>
      </c>
      <c r="BW216" s="363" t="s">
        <v>386</v>
      </c>
      <c r="BX216" s="364" t="s">
        <v>386</v>
      </c>
      <c r="BY216" s="363" t="s">
        <v>386</v>
      </c>
      <c r="BZ216" s="363" t="s">
        <v>386</v>
      </c>
      <c r="CA216" s="363" t="s">
        <v>386</v>
      </c>
      <c r="CB216" s="363" t="s">
        <v>386</v>
      </c>
      <c r="CC216" s="363" t="s">
        <v>386</v>
      </c>
      <c r="CD216" s="362" t="s">
        <v>386</v>
      </c>
      <c r="CE216" s="363" t="s">
        <v>386</v>
      </c>
      <c r="CF216" s="363" t="s">
        <v>386</v>
      </c>
      <c r="CG216" s="363" t="s">
        <v>386</v>
      </c>
      <c r="CH216" s="364" t="s">
        <v>386</v>
      </c>
    </row>
    <row r="217" spans="1:86" x14ac:dyDescent="0.25">
      <c r="A217" s="223" t="s">
        <v>326</v>
      </c>
      <c r="B217" s="229">
        <v>68.569999999999993</v>
      </c>
      <c r="C217" s="220">
        <v>46.35</v>
      </c>
      <c r="D217" s="220">
        <v>63.33</v>
      </c>
      <c r="E217" s="220">
        <v>58.21</v>
      </c>
      <c r="F217" s="224">
        <v>65.510000000000005</v>
      </c>
      <c r="G217" s="220">
        <v>40.18</v>
      </c>
      <c r="H217" s="220">
        <v>33.1</v>
      </c>
      <c r="I217" s="220">
        <v>46.790000000000006</v>
      </c>
      <c r="J217" s="220">
        <v>52.73</v>
      </c>
      <c r="K217" s="220">
        <v>41.54</v>
      </c>
      <c r="L217" s="229">
        <v>163.02999999999997</v>
      </c>
      <c r="M217" s="220">
        <v>114.7</v>
      </c>
      <c r="N217" s="220">
        <v>175.84</v>
      </c>
      <c r="O217" s="220">
        <v>192.92</v>
      </c>
      <c r="P217" s="224">
        <v>179.15</v>
      </c>
      <c r="Q217" s="220">
        <v>58.6</v>
      </c>
      <c r="R217" s="220">
        <v>43.2</v>
      </c>
      <c r="S217" s="220">
        <v>64.400000000000006</v>
      </c>
      <c r="T217" s="220">
        <v>58.1</v>
      </c>
      <c r="U217" s="220">
        <v>64.400000000000006</v>
      </c>
      <c r="V217" s="229">
        <v>104.2</v>
      </c>
      <c r="W217" s="220">
        <v>59.2</v>
      </c>
      <c r="X217" s="220">
        <v>86.13</v>
      </c>
      <c r="Y217" s="220">
        <v>104.29</v>
      </c>
      <c r="Z217" s="224">
        <v>127.4</v>
      </c>
      <c r="AA217" s="220">
        <v>15.6</v>
      </c>
      <c r="AB217" s="220">
        <v>12</v>
      </c>
      <c r="AC217" s="220">
        <v>12.8</v>
      </c>
      <c r="AD217" s="220">
        <v>14.7</v>
      </c>
      <c r="AE217" s="220">
        <v>15.2</v>
      </c>
      <c r="AF217" s="229">
        <v>67.8</v>
      </c>
      <c r="AG217" s="220">
        <v>48.8</v>
      </c>
      <c r="AH217" s="220">
        <v>71.400000000000006</v>
      </c>
      <c r="AI217" s="220">
        <v>87.6</v>
      </c>
      <c r="AJ217" s="224">
        <v>89.8</v>
      </c>
      <c r="AK217" s="363" t="s">
        <v>386</v>
      </c>
      <c r="AL217" s="363" t="s">
        <v>386</v>
      </c>
      <c r="AM217" s="363" t="s">
        <v>386</v>
      </c>
      <c r="AN217" s="363" t="s">
        <v>386</v>
      </c>
      <c r="AO217" s="363" t="s">
        <v>386</v>
      </c>
      <c r="AP217" s="229">
        <v>2505.84</v>
      </c>
      <c r="AQ217" s="220">
        <v>2349.1999999999998</v>
      </c>
      <c r="AR217" s="220">
        <v>2656.98</v>
      </c>
      <c r="AS217" s="220">
        <v>2264.92</v>
      </c>
      <c r="AT217" s="224">
        <v>1367.28</v>
      </c>
      <c r="AU217" s="220">
        <v>1923.6</v>
      </c>
      <c r="AV217" s="220">
        <v>1589.6</v>
      </c>
      <c r="AW217" s="220">
        <v>1895.25</v>
      </c>
      <c r="AX217" s="220">
        <v>2355.4</v>
      </c>
      <c r="AY217" s="220">
        <v>1832.2</v>
      </c>
      <c r="AZ217" s="229" t="s">
        <v>386</v>
      </c>
      <c r="BA217" s="220" t="s">
        <v>386</v>
      </c>
      <c r="BB217" s="220" t="s">
        <v>386</v>
      </c>
      <c r="BC217" s="220" t="s">
        <v>386</v>
      </c>
      <c r="BD217" s="224" t="s">
        <v>386</v>
      </c>
      <c r="BE217" s="363" t="s">
        <v>386</v>
      </c>
      <c r="BF217" s="363" t="s">
        <v>386</v>
      </c>
      <c r="BG217" s="363" t="s">
        <v>386</v>
      </c>
      <c r="BH217" s="363" t="s">
        <v>386</v>
      </c>
      <c r="BI217" s="363" t="s">
        <v>386</v>
      </c>
      <c r="BJ217" s="374" t="s">
        <v>386</v>
      </c>
      <c r="BK217" s="375" t="s">
        <v>386</v>
      </c>
      <c r="BL217" s="375" t="s">
        <v>386</v>
      </c>
      <c r="BM217" s="375" t="s">
        <v>386</v>
      </c>
      <c r="BN217" s="376" t="s">
        <v>386</v>
      </c>
      <c r="BO217" s="375" t="s">
        <v>386</v>
      </c>
      <c r="BP217" s="375" t="s">
        <v>386</v>
      </c>
      <c r="BQ217" s="375" t="s">
        <v>386</v>
      </c>
      <c r="BR217" s="375" t="s">
        <v>386</v>
      </c>
      <c r="BS217" s="376" t="s">
        <v>386</v>
      </c>
      <c r="BT217" s="363" t="s">
        <v>386</v>
      </c>
      <c r="BU217" s="363" t="s">
        <v>386</v>
      </c>
      <c r="BV217" s="363" t="s">
        <v>386</v>
      </c>
      <c r="BW217" s="363" t="s">
        <v>386</v>
      </c>
      <c r="BX217" s="364" t="s">
        <v>386</v>
      </c>
      <c r="BY217" s="363" t="s">
        <v>386</v>
      </c>
      <c r="BZ217" s="363" t="s">
        <v>386</v>
      </c>
      <c r="CA217" s="363" t="s">
        <v>386</v>
      </c>
      <c r="CB217" s="363" t="s">
        <v>386</v>
      </c>
      <c r="CC217" s="363" t="s">
        <v>386</v>
      </c>
      <c r="CD217" s="362" t="s">
        <v>386</v>
      </c>
      <c r="CE217" s="363" t="s">
        <v>386</v>
      </c>
      <c r="CF217" s="363" t="s">
        <v>386</v>
      </c>
      <c r="CG217" s="363" t="s">
        <v>386</v>
      </c>
      <c r="CH217" s="364" t="s">
        <v>386</v>
      </c>
    </row>
    <row r="218" spans="1:86" x14ac:dyDescent="0.25">
      <c r="A218" s="223" t="s">
        <v>327</v>
      </c>
      <c r="B218" s="229">
        <v>35.660000000000004</v>
      </c>
      <c r="C218" s="220">
        <v>27.83</v>
      </c>
      <c r="D218" s="220">
        <v>25.16</v>
      </c>
      <c r="E218" s="220">
        <v>37.479999999999997</v>
      </c>
      <c r="F218" s="224">
        <v>26.52</v>
      </c>
      <c r="G218" s="220">
        <v>23.32</v>
      </c>
      <c r="H218" s="220">
        <v>20.59</v>
      </c>
      <c r="I218" s="220">
        <v>19.95</v>
      </c>
      <c r="J218" s="220">
        <v>23.54</v>
      </c>
      <c r="K218" s="220">
        <v>21.96</v>
      </c>
      <c r="L218" s="229">
        <v>163.94</v>
      </c>
      <c r="M218" s="220">
        <v>154.63</v>
      </c>
      <c r="N218" s="220">
        <v>152.81</v>
      </c>
      <c r="O218" s="220">
        <v>135.91</v>
      </c>
      <c r="P218" s="224">
        <v>121.32</v>
      </c>
      <c r="Q218" s="220">
        <v>29.4</v>
      </c>
      <c r="R218" s="220">
        <v>23.2</v>
      </c>
      <c r="S218" s="220">
        <v>27.3</v>
      </c>
      <c r="T218" s="220">
        <v>40</v>
      </c>
      <c r="U218" s="220">
        <v>27.3</v>
      </c>
      <c r="V218" s="229">
        <v>24.37</v>
      </c>
      <c r="W218" s="220">
        <v>37.9</v>
      </c>
      <c r="X218" s="220">
        <v>25.6</v>
      </c>
      <c r="Y218" s="220">
        <v>80.5</v>
      </c>
      <c r="Z218" s="224">
        <v>70.5</v>
      </c>
      <c r="AA218" s="363" t="s">
        <v>386</v>
      </c>
      <c r="AB218" s="363" t="s">
        <v>386</v>
      </c>
      <c r="AC218" s="363" t="s">
        <v>386</v>
      </c>
      <c r="AD218" s="363" t="s">
        <v>386</v>
      </c>
      <c r="AE218" s="363" t="s">
        <v>386</v>
      </c>
      <c r="AF218" s="229">
        <v>41.8</v>
      </c>
      <c r="AG218" s="220">
        <v>35.4</v>
      </c>
      <c r="AH218" s="220">
        <v>42.8</v>
      </c>
      <c r="AI218" s="220">
        <v>75.599999999999994</v>
      </c>
      <c r="AJ218" s="224">
        <v>41.8</v>
      </c>
      <c r="AK218" s="363" t="s">
        <v>386</v>
      </c>
      <c r="AL218" s="363" t="s">
        <v>386</v>
      </c>
      <c r="AM218" s="363" t="s">
        <v>386</v>
      </c>
      <c r="AN218" s="363" t="s">
        <v>386</v>
      </c>
      <c r="AO218" s="363" t="s">
        <v>386</v>
      </c>
      <c r="AP218" s="229">
        <v>1124.25</v>
      </c>
      <c r="AQ218" s="220">
        <v>999.85</v>
      </c>
      <c r="AR218" s="220">
        <v>914.65</v>
      </c>
      <c r="AS218" s="220">
        <v>1048.23</v>
      </c>
      <c r="AT218" s="224">
        <v>1117.9100000000001</v>
      </c>
      <c r="AU218" s="363" t="s">
        <v>386</v>
      </c>
      <c r="AV218" s="363" t="s">
        <v>386</v>
      </c>
      <c r="AW218" s="363" t="s">
        <v>386</v>
      </c>
      <c r="AX218" s="363" t="s">
        <v>386</v>
      </c>
      <c r="AY218" s="363" t="s">
        <v>386</v>
      </c>
      <c r="AZ218" s="229" t="s">
        <v>386</v>
      </c>
      <c r="BA218" s="220" t="s">
        <v>386</v>
      </c>
      <c r="BB218" s="220" t="s">
        <v>386</v>
      </c>
      <c r="BC218" s="220" t="s">
        <v>386</v>
      </c>
      <c r="BD218" s="224" t="s">
        <v>386</v>
      </c>
      <c r="BE218" s="363">
        <v>781</v>
      </c>
      <c r="BF218" s="363">
        <v>822</v>
      </c>
      <c r="BG218" s="363">
        <v>692</v>
      </c>
      <c r="BH218" s="363">
        <v>941</v>
      </c>
      <c r="BI218" s="363">
        <v>968</v>
      </c>
      <c r="BJ218" s="374" t="s">
        <v>386</v>
      </c>
      <c r="BK218" s="375" t="s">
        <v>386</v>
      </c>
      <c r="BL218" s="375" t="s">
        <v>386</v>
      </c>
      <c r="BM218" s="375" t="s">
        <v>386</v>
      </c>
      <c r="BN218" s="376" t="s">
        <v>386</v>
      </c>
      <c r="BO218" s="375" t="s">
        <v>386</v>
      </c>
      <c r="BP218" s="375" t="s">
        <v>386</v>
      </c>
      <c r="BQ218" s="375" t="s">
        <v>386</v>
      </c>
      <c r="BR218" s="375" t="s">
        <v>386</v>
      </c>
      <c r="BS218" s="376" t="s">
        <v>386</v>
      </c>
      <c r="BT218" s="363" t="s">
        <v>386</v>
      </c>
      <c r="BU218" s="363" t="s">
        <v>386</v>
      </c>
      <c r="BV218" s="363" t="s">
        <v>386</v>
      </c>
      <c r="BW218" s="363" t="s">
        <v>386</v>
      </c>
      <c r="BX218" s="364" t="s">
        <v>386</v>
      </c>
      <c r="BY218" s="363" t="s">
        <v>386</v>
      </c>
      <c r="BZ218" s="363" t="s">
        <v>386</v>
      </c>
      <c r="CA218" s="363" t="s">
        <v>386</v>
      </c>
      <c r="CB218" s="363" t="s">
        <v>386</v>
      </c>
      <c r="CC218" s="363" t="s">
        <v>386</v>
      </c>
      <c r="CD218" s="374" t="s">
        <v>386</v>
      </c>
      <c r="CE218" s="375" t="s">
        <v>386</v>
      </c>
      <c r="CF218" s="375" t="s">
        <v>386</v>
      </c>
      <c r="CG218" s="375" t="s">
        <v>386</v>
      </c>
      <c r="CH218" s="376" t="s">
        <v>386</v>
      </c>
    </row>
    <row r="219" spans="1:86" x14ac:dyDescent="0.25">
      <c r="A219" s="223" t="s">
        <v>328</v>
      </c>
      <c r="B219" s="229">
        <v>61.26</v>
      </c>
      <c r="C219" s="220">
        <v>44.849999999999994</v>
      </c>
      <c r="D219" s="220">
        <v>63.79</v>
      </c>
      <c r="E219" s="220">
        <v>52.79</v>
      </c>
      <c r="F219" s="224">
        <v>56.339999999999996</v>
      </c>
      <c r="G219" s="220">
        <v>48.72</v>
      </c>
      <c r="H219" s="220">
        <v>32.300000000000004</v>
      </c>
      <c r="I219" s="220">
        <v>45.44</v>
      </c>
      <c r="J219" s="220">
        <v>51.04</v>
      </c>
      <c r="K219" s="220">
        <v>42.23</v>
      </c>
      <c r="L219" s="229">
        <v>189.03</v>
      </c>
      <c r="M219" s="220">
        <v>114.64999999999999</v>
      </c>
      <c r="N219" s="220">
        <v>175.35</v>
      </c>
      <c r="O219" s="220">
        <v>192.9</v>
      </c>
      <c r="P219" s="224">
        <v>181.12</v>
      </c>
      <c r="Q219" s="220">
        <v>48.8</v>
      </c>
      <c r="R219" s="220">
        <v>42.4</v>
      </c>
      <c r="S219" s="220">
        <v>60</v>
      </c>
      <c r="T219" s="220">
        <v>56.2</v>
      </c>
      <c r="U219" s="220">
        <v>67.8</v>
      </c>
      <c r="V219" s="229">
        <v>98.6</v>
      </c>
      <c r="W219" s="220">
        <v>60</v>
      </c>
      <c r="X219" s="220">
        <v>102.88</v>
      </c>
      <c r="Y219" s="220">
        <v>88.24</v>
      </c>
      <c r="Z219" s="224">
        <v>125.24</v>
      </c>
      <c r="AA219" s="220">
        <v>16.3</v>
      </c>
      <c r="AB219" s="220">
        <v>11.2</v>
      </c>
      <c r="AC219" s="220">
        <v>12.5</v>
      </c>
      <c r="AD219" s="220">
        <v>15.3</v>
      </c>
      <c r="AE219" s="220">
        <v>14.2</v>
      </c>
      <c r="AF219" s="229">
        <v>91.3</v>
      </c>
      <c r="AG219" s="220">
        <v>69.7</v>
      </c>
      <c r="AH219" s="220">
        <v>89.78</v>
      </c>
      <c r="AI219" s="220">
        <v>90</v>
      </c>
      <c r="AJ219" s="224">
        <v>104.08</v>
      </c>
      <c r="AK219" s="363">
        <v>1721</v>
      </c>
      <c r="AL219" s="363">
        <v>1455</v>
      </c>
      <c r="AM219" s="363">
        <v>2148.4499999999998</v>
      </c>
      <c r="AN219" s="363">
        <v>2213.44</v>
      </c>
      <c r="AO219" s="363">
        <v>1969.88</v>
      </c>
      <c r="AP219" s="229">
        <v>2675.73</v>
      </c>
      <c r="AQ219" s="220">
        <v>2415.1999999999998</v>
      </c>
      <c r="AR219" s="220">
        <v>3029.46</v>
      </c>
      <c r="AS219" s="220">
        <v>2548.92</v>
      </c>
      <c r="AT219" s="224">
        <v>2005.28</v>
      </c>
      <c r="AU219" s="220">
        <v>2745</v>
      </c>
      <c r="AV219" s="220">
        <v>1376</v>
      </c>
      <c r="AW219" s="220">
        <v>2242</v>
      </c>
      <c r="AX219" s="220">
        <v>2460</v>
      </c>
      <c r="AY219" s="220">
        <v>2395</v>
      </c>
      <c r="AZ219" s="229" t="s">
        <v>386</v>
      </c>
      <c r="BA219" s="220" t="s">
        <v>386</v>
      </c>
      <c r="BB219" s="220" t="s">
        <v>386</v>
      </c>
      <c r="BC219" s="220" t="s">
        <v>386</v>
      </c>
      <c r="BD219" s="224" t="s">
        <v>386</v>
      </c>
      <c r="BE219" s="363" t="s">
        <v>386</v>
      </c>
      <c r="BF219" s="363" t="s">
        <v>386</v>
      </c>
      <c r="BG219" s="363" t="s">
        <v>386</v>
      </c>
      <c r="BH219" s="363" t="s">
        <v>386</v>
      </c>
      <c r="BI219" s="363" t="s">
        <v>386</v>
      </c>
      <c r="BJ219" s="374" t="s">
        <v>386</v>
      </c>
      <c r="BK219" s="375" t="s">
        <v>386</v>
      </c>
      <c r="BL219" s="375" t="s">
        <v>386</v>
      </c>
      <c r="BM219" s="375" t="s">
        <v>386</v>
      </c>
      <c r="BN219" s="376" t="s">
        <v>386</v>
      </c>
      <c r="BO219" s="375" t="s">
        <v>386</v>
      </c>
      <c r="BP219" s="375" t="s">
        <v>386</v>
      </c>
      <c r="BQ219" s="375" t="s">
        <v>386</v>
      </c>
      <c r="BR219" s="375" t="s">
        <v>386</v>
      </c>
      <c r="BS219" s="376" t="s">
        <v>386</v>
      </c>
      <c r="BT219" s="363" t="s">
        <v>386</v>
      </c>
      <c r="BU219" s="363" t="s">
        <v>386</v>
      </c>
      <c r="BV219" s="363" t="s">
        <v>386</v>
      </c>
      <c r="BW219" s="363" t="s">
        <v>386</v>
      </c>
      <c r="BX219" s="364" t="s">
        <v>386</v>
      </c>
      <c r="BY219" s="363" t="s">
        <v>386</v>
      </c>
      <c r="BZ219" s="363" t="s">
        <v>386</v>
      </c>
      <c r="CA219" s="363" t="s">
        <v>386</v>
      </c>
      <c r="CB219" s="363" t="s">
        <v>386</v>
      </c>
      <c r="CC219" s="363" t="s">
        <v>386</v>
      </c>
      <c r="CD219" s="374" t="s">
        <v>386</v>
      </c>
      <c r="CE219" s="375" t="s">
        <v>386</v>
      </c>
      <c r="CF219" s="375" t="s">
        <v>386</v>
      </c>
      <c r="CG219" s="375" t="s">
        <v>386</v>
      </c>
      <c r="CH219" s="376" t="s">
        <v>386</v>
      </c>
    </row>
    <row r="220" spans="1:86" x14ac:dyDescent="0.25">
      <c r="A220" s="223" t="s">
        <v>329</v>
      </c>
      <c r="B220" s="229">
        <v>57.22</v>
      </c>
      <c r="C220" s="220">
        <v>48.370000000000005</v>
      </c>
      <c r="D220" s="220">
        <v>52.4</v>
      </c>
      <c r="E220" s="220">
        <v>48.71</v>
      </c>
      <c r="F220" s="224">
        <v>51.21</v>
      </c>
      <c r="G220" s="220">
        <v>47.52</v>
      </c>
      <c r="H220" s="220">
        <v>53.809999999999995</v>
      </c>
      <c r="I220" s="220">
        <v>44.23</v>
      </c>
      <c r="J220" s="220">
        <v>46.67</v>
      </c>
      <c r="K220" s="220">
        <v>41.84</v>
      </c>
      <c r="L220" s="229">
        <v>188.75</v>
      </c>
      <c r="M220" s="220">
        <v>200.33999999999997</v>
      </c>
      <c r="N220" s="220">
        <v>183.68</v>
      </c>
      <c r="O220" s="220">
        <v>159.53</v>
      </c>
      <c r="P220" s="224">
        <v>191.29</v>
      </c>
      <c r="Q220" s="220">
        <v>72.400000000000006</v>
      </c>
      <c r="R220" s="220">
        <v>58.9</v>
      </c>
      <c r="S220" s="220">
        <v>57.2</v>
      </c>
      <c r="T220" s="220">
        <v>51.1</v>
      </c>
      <c r="U220" s="220">
        <v>49.1</v>
      </c>
      <c r="V220" s="229">
        <v>73.599999999999994</v>
      </c>
      <c r="W220" s="220">
        <v>79.2</v>
      </c>
      <c r="X220" s="220">
        <v>88</v>
      </c>
      <c r="Y220" s="220">
        <v>79.2</v>
      </c>
      <c r="Z220" s="224">
        <v>93.74</v>
      </c>
      <c r="AA220" s="220">
        <v>17</v>
      </c>
      <c r="AB220" s="220">
        <v>12</v>
      </c>
      <c r="AC220" s="220">
        <v>19.100000000000001</v>
      </c>
      <c r="AD220" s="220">
        <v>15.1</v>
      </c>
      <c r="AE220" s="220">
        <v>19.100000000000001</v>
      </c>
      <c r="AF220" s="229">
        <v>90</v>
      </c>
      <c r="AG220" s="220">
        <v>68.2</v>
      </c>
      <c r="AH220" s="220">
        <v>74.3</v>
      </c>
      <c r="AI220" s="220">
        <v>87.9</v>
      </c>
      <c r="AJ220" s="224">
        <v>101.8</v>
      </c>
      <c r="AK220" s="363" t="s">
        <v>386</v>
      </c>
      <c r="AL220" s="363" t="s">
        <v>386</v>
      </c>
      <c r="AM220" s="363" t="s">
        <v>386</v>
      </c>
      <c r="AN220" s="363" t="s">
        <v>386</v>
      </c>
      <c r="AO220" s="363" t="s">
        <v>386</v>
      </c>
      <c r="AP220" s="229">
        <v>2204</v>
      </c>
      <c r="AQ220" s="220">
        <v>2069</v>
      </c>
      <c r="AR220" s="220">
        <v>2618</v>
      </c>
      <c r="AS220" s="220">
        <v>2518</v>
      </c>
      <c r="AT220" s="224">
        <v>1948</v>
      </c>
      <c r="AU220" s="363" t="s">
        <v>386</v>
      </c>
      <c r="AV220" s="363" t="s">
        <v>386</v>
      </c>
      <c r="AW220" s="363" t="s">
        <v>386</v>
      </c>
      <c r="AX220" s="363" t="s">
        <v>386</v>
      </c>
      <c r="AY220" s="363" t="s">
        <v>386</v>
      </c>
      <c r="AZ220" s="229" t="s">
        <v>386</v>
      </c>
      <c r="BA220" s="220" t="s">
        <v>386</v>
      </c>
      <c r="BB220" s="220" t="s">
        <v>386</v>
      </c>
      <c r="BC220" s="220" t="s">
        <v>386</v>
      </c>
      <c r="BD220" s="224" t="s">
        <v>386</v>
      </c>
      <c r="BE220" s="363" t="s">
        <v>386</v>
      </c>
      <c r="BF220" s="363" t="s">
        <v>386</v>
      </c>
      <c r="BG220" s="363" t="s">
        <v>386</v>
      </c>
      <c r="BH220" s="363" t="s">
        <v>386</v>
      </c>
      <c r="BI220" s="363" t="s">
        <v>386</v>
      </c>
      <c r="BJ220" s="374" t="s">
        <v>386</v>
      </c>
      <c r="BK220" s="375" t="s">
        <v>386</v>
      </c>
      <c r="BL220" s="375" t="s">
        <v>386</v>
      </c>
      <c r="BM220" s="375" t="s">
        <v>386</v>
      </c>
      <c r="BN220" s="376" t="s">
        <v>386</v>
      </c>
      <c r="BO220" s="375" t="s">
        <v>386</v>
      </c>
      <c r="BP220" s="375" t="s">
        <v>386</v>
      </c>
      <c r="BQ220" s="375" t="s">
        <v>386</v>
      </c>
      <c r="BR220" s="375" t="s">
        <v>386</v>
      </c>
      <c r="BS220" s="376" t="s">
        <v>386</v>
      </c>
      <c r="BT220" s="363" t="s">
        <v>386</v>
      </c>
      <c r="BU220" s="363" t="s">
        <v>386</v>
      </c>
      <c r="BV220" s="363" t="s">
        <v>386</v>
      </c>
      <c r="BW220" s="363" t="s">
        <v>386</v>
      </c>
      <c r="BX220" s="364" t="s">
        <v>386</v>
      </c>
      <c r="BY220" s="363" t="s">
        <v>386</v>
      </c>
      <c r="BZ220" s="363" t="s">
        <v>386</v>
      </c>
      <c r="CA220" s="363" t="s">
        <v>386</v>
      </c>
      <c r="CB220" s="363" t="s">
        <v>386</v>
      </c>
      <c r="CC220" s="363" t="s">
        <v>386</v>
      </c>
      <c r="CD220" s="362" t="s">
        <v>386</v>
      </c>
      <c r="CE220" s="363" t="s">
        <v>386</v>
      </c>
      <c r="CF220" s="363" t="s">
        <v>386</v>
      </c>
      <c r="CG220" s="363" t="s">
        <v>386</v>
      </c>
      <c r="CH220" s="364" t="s">
        <v>386</v>
      </c>
    </row>
    <row r="221" spans="1:86" x14ac:dyDescent="0.25">
      <c r="A221" s="223" t="s">
        <v>330</v>
      </c>
      <c r="B221" s="229">
        <v>60.57</v>
      </c>
      <c r="C221" s="220">
        <v>55.29</v>
      </c>
      <c r="D221" s="220">
        <v>60.870000000000005</v>
      </c>
      <c r="E221" s="220">
        <v>51.02</v>
      </c>
      <c r="F221" s="224">
        <v>85.73</v>
      </c>
      <c r="G221" s="220">
        <v>43.8</v>
      </c>
      <c r="H221" s="220">
        <v>38.33</v>
      </c>
      <c r="I221" s="220">
        <v>34.119999999999997</v>
      </c>
      <c r="J221" s="220">
        <v>42.230000000000004</v>
      </c>
      <c r="K221" s="220">
        <v>41.569999999999993</v>
      </c>
      <c r="L221" s="229">
        <v>145.38</v>
      </c>
      <c r="M221" s="220">
        <v>101.25999999999999</v>
      </c>
      <c r="N221" s="220">
        <v>93.84</v>
      </c>
      <c r="O221" s="220">
        <v>144.75</v>
      </c>
      <c r="P221" s="224">
        <v>128.54999999999998</v>
      </c>
      <c r="Q221" s="220">
        <v>40.700000000000003</v>
      </c>
      <c r="R221" s="220">
        <v>28</v>
      </c>
      <c r="S221" s="220">
        <v>43.2</v>
      </c>
      <c r="T221" s="220">
        <v>39.5</v>
      </c>
      <c r="U221" s="220">
        <v>35.1</v>
      </c>
      <c r="V221" s="229">
        <v>85.39</v>
      </c>
      <c r="W221" s="220">
        <v>61.6</v>
      </c>
      <c r="X221" s="220">
        <v>73.17</v>
      </c>
      <c r="Y221" s="220">
        <v>87.48</v>
      </c>
      <c r="Z221" s="224">
        <v>99.48</v>
      </c>
      <c r="AA221" s="363" t="s">
        <v>386</v>
      </c>
      <c r="AB221" s="363" t="s">
        <v>386</v>
      </c>
      <c r="AC221" s="363" t="s">
        <v>386</v>
      </c>
      <c r="AD221" s="363" t="s">
        <v>386</v>
      </c>
      <c r="AE221" s="363" t="s">
        <v>386</v>
      </c>
      <c r="AF221" s="229">
        <v>89.240000000000009</v>
      </c>
      <c r="AG221" s="220">
        <v>71.27</v>
      </c>
      <c r="AH221" s="220">
        <v>52.96</v>
      </c>
      <c r="AI221" s="220">
        <v>81.11</v>
      </c>
      <c r="AJ221" s="224">
        <v>77.599999999999994</v>
      </c>
      <c r="AK221" s="363" t="s">
        <v>386</v>
      </c>
      <c r="AL221" s="363" t="s">
        <v>386</v>
      </c>
      <c r="AM221" s="363" t="s">
        <v>386</v>
      </c>
      <c r="AN221" s="363" t="s">
        <v>386</v>
      </c>
      <c r="AO221" s="363" t="s">
        <v>386</v>
      </c>
      <c r="AP221" s="229">
        <v>2345.16</v>
      </c>
      <c r="AQ221" s="220">
        <v>1709.3</v>
      </c>
      <c r="AR221" s="220">
        <v>1885.44</v>
      </c>
      <c r="AS221" s="220">
        <v>1661.58</v>
      </c>
      <c r="AT221" s="224">
        <v>1418.72</v>
      </c>
      <c r="AU221" s="363">
        <v>2279</v>
      </c>
      <c r="AV221" s="363">
        <v>1240.8</v>
      </c>
      <c r="AW221" s="363">
        <v>1866.5</v>
      </c>
      <c r="AX221" s="363">
        <v>2587.75</v>
      </c>
      <c r="AY221" s="363">
        <v>2363</v>
      </c>
      <c r="AZ221" s="229" t="s">
        <v>386</v>
      </c>
      <c r="BA221" s="220" t="s">
        <v>386</v>
      </c>
      <c r="BB221" s="220" t="s">
        <v>386</v>
      </c>
      <c r="BC221" s="220" t="s">
        <v>386</v>
      </c>
      <c r="BD221" s="224" t="s">
        <v>386</v>
      </c>
      <c r="BE221" s="363" t="s">
        <v>386</v>
      </c>
      <c r="BF221" s="363" t="s">
        <v>386</v>
      </c>
      <c r="BG221" s="363" t="s">
        <v>386</v>
      </c>
      <c r="BH221" s="363" t="s">
        <v>386</v>
      </c>
      <c r="BI221" s="363" t="s">
        <v>386</v>
      </c>
      <c r="BJ221" s="374" t="s">
        <v>386</v>
      </c>
      <c r="BK221" s="375" t="s">
        <v>386</v>
      </c>
      <c r="BL221" s="375" t="s">
        <v>386</v>
      </c>
      <c r="BM221" s="375" t="s">
        <v>386</v>
      </c>
      <c r="BN221" s="376" t="s">
        <v>386</v>
      </c>
      <c r="BO221" s="375" t="s">
        <v>386</v>
      </c>
      <c r="BP221" s="375" t="s">
        <v>386</v>
      </c>
      <c r="BQ221" s="375" t="s">
        <v>386</v>
      </c>
      <c r="BR221" s="375" t="s">
        <v>386</v>
      </c>
      <c r="BS221" s="376" t="s">
        <v>386</v>
      </c>
      <c r="BT221" s="363" t="s">
        <v>386</v>
      </c>
      <c r="BU221" s="363" t="s">
        <v>386</v>
      </c>
      <c r="BV221" s="363" t="s">
        <v>386</v>
      </c>
      <c r="BW221" s="363" t="s">
        <v>386</v>
      </c>
      <c r="BX221" s="364" t="s">
        <v>386</v>
      </c>
      <c r="BY221" s="363" t="s">
        <v>386</v>
      </c>
      <c r="BZ221" s="363" t="s">
        <v>386</v>
      </c>
      <c r="CA221" s="363" t="s">
        <v>386</v>
      </c>
      <c r="CB221" s="363" t="s">
        <v>386</v>
      </c>
      <c r="CC221" s="363" t="s">
        <v>386</v>
      </c>
      <c r="CD221" s="362" t="s">
        <v>386</v>
      </c>
      <c r="CE221" s="363" t="s">
        <v>386</v>
      </c>
      <c r="CF221" s="363" t="s">
        <v>386</v>
      </c>
      <c r="CG221" s="363" t="s">
        <v>386</v>
      </c>
      <c r="CH221" s="364" t="s">
        <v>386</v>
      </c>
    </row>
    <row r="222" spans="1:86" x14ac:dyDescent="0.25">
      <c r="A222" s="223" t="s">
        <v>331</v>
      </c>
      <c r="B222" s="229">
        <v>51.24</v>
      </c>
      <c r="C222" s="220">
        <v>28.2</v>
      </c>
      <c r="D222" s="220">
        <v>34.949999999999996</v>
      </c>
      <c r="E222" s="220">
        <v>45.39</v>
      </c>
      <c r="F222" s="224">
        <v>60.46</v>
      </c>
      <c r="G222" s="220">
        <v>21.02</v>
      </c>
      <c r="H222" s="220">
        <v>22.11</v>
      </c>
      <c r="I222" s="220">
        <v>29.61</v>
      </c>
      <c r="J222" s="220">
        <v>34.46</v>
      </c>
      <c r="K222" s="220">
        <v>27.99</v>
      </c>
      <c r="L222" s="229">
        <v>73.59</v>
      </c>
      <c r="M222" s="220">
        <v>59.449999999999996</v>
      </c>
      <c r="N222" s="220">
        <v>58.44</v>
      </c>
      <c r="O222" s="220">
        <v>88.49</v>
      </c>
      <c r="P222" s="224">
        <v>79</v>
      </c>
      <c r="Q222" s="220">
        <v>34.6</v>
      </c>
      <c r="R222" s="220">
        <v>21.6</v>
      </c>
      <c r="S222" s="220">
        <v>63.1</v>
      </c>
      <c r="T222" s="220">
        <v>63.1</v>
      </c>
      <c r="U222" s="220">
        <v>61.5</v>
      </c>
      <c r="V222" s="229">
        <v>56.6</v>
      </c>
      <c r="W222" s="220">
        <v>33.6</v>
      </c>
      <c r="X222" s="220">
        <v>33.6</v>
      </c>
      <c r="Y222" s="220">
        <v>77.930000000000007</v>
      </c>
      <c r="Z222" s="224">
        <v>70.739999999999995</v>
      </c>
      <c r="AA222" s="363" t="s">
        <v>386</v>
      </c>
      <c r="AB222" s="363" t="s">
        <v>386</v>
      </c>
      <c r="AC222" s="363" t="s">
        <v>386</v>
      </c>
      <c r="AD222" s="363" t="s">
        <v>386</v>
      </c>
      <c r="AE222" s="363" t="s">
        <v>386</v>
      </c>
      <c r="AF222" s="229">
        <v>67.17</v>
      </c>
      <c r="AG222" s="220">
        <v>40.98</v>
      </c>
      <c r="AH222" s="220">
        <v>37.440000000000005</v>
      </c>
      <c r="AI222" s="220">
        <v>45.21</v>
      </c>
      <c r="AJ222" s="224">
        <v>63.279999999999994</v>
      </c>
      <c r="AK222" s="363" t="s">
        <v>386</v>
      </c>
      <c r="AL222" s="363" t="s">
        <v>386</v>
      </c>
      <c r="AM222" s="363" t="s">
        <v>386</v>
      </c>
      <c r="AN222" s="363" t="s">
        <v>386</v>
      </c>
      <c r="AO222" s="363" t="s">
        <v>386</v>
      </c>
      <c r="AP222" s="229">
        <v>1716.57</v>
      </c>
      <c r="AQ222" s="220">
        <v>1412.4199999999998</v>
      </c>
      <c r="AR222" s="220">
        <v>1264.6799999999998</v>
      </c>
      <c r="AS222" s="220">
        <v>1430.64</v>
      </c>
      <c r="AT222" s="224">
        <v>1205.1400000000001</v>
      </c>
      <c r="AU222" s="363">
        <v>2253</v>
      </c>
      <c r="AV222" s="363">
        <v>640</v>
      </c>
      <c r="AW222" s="363">
        <v>1753</v>
      </c>
      <c r="AX222" s="363">
        <v>1444.73</v>
      </c>
      <c r="AY222" s="363">
        <v>2260.67</v>
      </c>
      <c r="AZ222" s="229" t="s">
        <v>386</v>
      </c>
      <c r="BA222" s="220" t="s">
        <v>386</v>
      </c>
      <c r="BB222" s="220" t="s">
        <v>386</v>
      </c>
      <c r="BC222" s="220" t="s">
        <v>386</v>
      </c>
      <c r="BD222" s="224" t="s">
        <v>386</v>
      </c>
      <c r="BE222" s="220">
        <v>1632.57</v>
      </c>
      <c r="BF222" s="220">
        <v>974.61</v>
      </c>
      <c r="BG222" s="220">
        <v>775.83</v>
      </c>
      <c r="BH222" s="220">
        <v>1121.0899999999999</v>
      </c>
      <c r="BI222" s="220">
        <v>968</v>
      </c>
      <c r="BJ222" s="362" t="s">
        <v>386</v>
      </c>
      <c r="BK222" s="363" t="s">
        <v>386</v>
      </c>
      <c r="BL222" s="363" t="s">
        <v>386</v>
      </c>
      <c r="BM222" s="363" t="s">
        <v>386</v>
      </c>
      <c r="BN222" s="364" t="s">
        <v>386</v>
      </c>
      <c r="BO222" s="363" t="s">
        <v>386</v>
      </c>
      <c r="BP222" s="363" t="s">
        <v>386</v>
      </c>
      <c r="BQ222" s="363" t="s">
        <v>386</v>
      </c>
      <c r="BR222" s="363" t="s">
        <v>386</v>
      </c>
      <c r="BS222" s="364" t="s">
        <v>386</v>
      </c>
      <c r="BT222" s="363" t="s">
        <v>386</v>
      </c>
      <c r="BU222" s="363" t="s">
        <v>386</v>
      </c>
      <c r="BV222" s="363" t="s">
        <v>386</v>
      </c>
      <c r="BW222" s="363" t="s">
        <v>386</v>
      </c>
      <c r="BX222" s="364" t="s">
        <v>386</v>
      </c>
      <c r="BY222" s="363" t="s">
        <v>386</v>
      </c>
      <c r="BZ222" s="363" t="s">
        <v>386</v>
      </c>
      <c r="CA222" s="363" t="s">
        <v>386</v>
      </c>
      <c r="CB222" s="363" t="s">
        <v>386</v>
      </c>
      <c r="CC222" s="363" t="s">
        <v>386</v>
      </c>
      <c r="CD222" s="362" t="s">
        <v>386</v>
      </c>
      <c r="CE222" s="363" t="s">
        <v>386</v>
      </c>
      <c r="CF222" s="363" t="s">
        <v>386</v>
      </c>
      <c r="CG222" s="363" t="s">
        <v>386</v>
      </c>
      <c r="CH222" s="364" t="s">
        <v>386</v>
      </c>
    </row>
    <row r="223" spans="1:86" x14ac:dyDescent="0.25">
      <c r="A223" s="223" t="s">
        <v>332</v>
      </c>
      <c r="B223" s="229">
        <v>68.12</v>
      </c>
      <c r="C223" s="220">
        <v>67.33</v>
      </c>
      <c r="D223" s="220">
        <v>64.52</v>
      </c>
      <c r="E223" s="220">
        <v>51.910000000000004</v>
      </c>
      <c r="F223" s="224">
        <v>54.47</v>
      </c>
      <c r="G223" s="220">
        <v>58.069999999999993</v>
      </c>
      <c r="H223" s="220">
        <v>57.010000000000005</v>
      </c>
      <c r="I223" s="220">
        <v>51.54</v>
      </c>
      <c r="J223" s="220">
        <v>57.64</v>
      </c>
      <c r="K223" s="220">
        <v>52.620000000000005</v>
      </c>
      <c r="L223" s="229">
        <v>212.32</v>
      </c>
      <c r="M223" s="220">
        <v>201.79000000000002</v>
      </c>
      <c r="N223" s="220">
        <v>194.66</v>
      </c>
      <c r="O223" s="220">
        <v>199.10000000000002</v>
      </c>
      <c r="P223" s="224">
        <v>208.25</v>
      </c>
      <c r="Q223" s="220">
        <v>57.3</v>
      </c>
      <c r="R223" s="220">
        <v>40</v>
      </c>
      <c r="S223" s="220">
        <v>63.8</v>
      </c>
      <c r="T223" s="220">
        <v>59.1</v>
      </c>
      <c r="U223" s="220">
        <v>60.6</v>
      </c>
      <c r="V223" s="229">
        <v>114.32</v>
      </c>
      <c r="W223" s="220">
        <v>83.2</v>
      </c>
      <c r="X223" s="220">
        <v>111.05</v>
      </c>
      <c r="Y223" s="220">
        <v>83.2</v>
      </c>
      <c r="Z223" s="224">
        <v>124.83</v>
      </c>
      <c r="AA223" s="363" t="s">
        <v>386</v>
      </c>
      <c r="AB223" s="363" t="s">
        <v>386</v>
      </c>
      <c r="AC223" s="363" t="s">
        <v>386</v>
      </c>
      <c r="AD223" s="363" t="s">
        <v>386</v>
      </c>
      <c r="AE223" s="363" t="s">
        <v>386</v>
      </c>
      <c r="AF223" s="229">
        <v>85.2</v>
      </c>
      <c r="AG223" s="220">
        <v>78.3</v>
      </c>
      <c r="AH223" s="220">
        <v>84.5</v>
      </c>
      <c r="AI223" s="220">
        <v>99.4</v>
      </c>
      <c r="AJ223" s="224">
        <v>109.2</v>
      </c>
      <c r="AK223" s="363" t="s">
        <v>386</v>
      </c>
      <c r="AL223" s="363" t="s">
        <v>386</v>
      </c>
      <c r="AM223" s="363" t="s">
        <v>386</v>
      </c>
      <c r="AN223" s="363" t="s">
        <v>386</v>
      </c>
      <c r="AO223" s="363" t="s">
        <v>386</v>
      </c>
      <c r="AP223" s="362">
        <v>2256</v>
      </c>
      <c r="AQ223" s="363">
        <v>2201</v>
      </c>
      <c r="AR223" s="363">
        <v>2780</v>
      </c>
      <c r="AS223" s="363">
        <v>2367</v>
      </c>
      <c r="AT223" s="364">
        <v>1916</v>
      </c>
      <c r="AU223" s="363" t="s">
        <v>386</v>
      </c>
      <c r="AV223" s="363" t="s">
        <v>386</v>
      </c>
      <c r="AW223" s="363" t="s">
        <v>386</v>
      </c>
      <c r="AX223" s="363" t="s">
        <v>386</v>
      </c>
      <c r="AY223" s="363" t="s">
        <v>386</v>
      </c>
      <c r="AZ223" s="229" t="s">
        <v>386</v>
      </c>
      <c r="BA223" s="220" t="s">
        <v>386</v>
      </c>
      <c r="BB223" s="220" t="s">
        <v>386</v>
      </c>
      <c r="BC223" s="220" t="s">
        <v>386</v>
      </c>
      <c r="BD223" s="224" t="s">
        <v>386</v>
      </c>
      <c r="BE223" s="363" t="s">
        <v>386</v>
      </c>
      <c r="BF223" s="363" t="s">
        <v>386</v>
      </c>
      <c r="BG223" s="363" t="s">
        <v>386</v>
      </c>
      <c r="BH223" s="363" t="s">
        <v>386</v>
      </c>
      <c r="BI223" s="363" t="s">
        <v>386</v>
      </c>
      <c r="BJ223" s="362" t="s">
        <v>386</v>
      </c>
      <c r="BK223" s="363" t="s">
        <v>386</v>
      </c>
      <c r="BL223" s="363" t="s">
        <v>386</v>
      </c>
      <c r="BM223" s="363" t="s">
        <v>386</v>
      </c>
      <c r="BN223" s="364" t="s">
        <v>386</v>
      </c>
      <c r="BO223" s="363" t="s">
        <v>386</v>
      </c>
      <c r="BP223" s="363" t="s">
        <v>386</v>
      </c>
      <c r="BQ223" s="363" t="s">
        <v>386</v>
      </c>
      <c r="BR223" s="363" t="s">
        <v>386</v>
      </c>
      <c r="BS223" s="364" t="s">
        <v>386</v>
      </c>
      <c r="BT223" s="363" t="s">
        <v>386</v>
      </c>
      <c r="BU223" s="363" t="s">
        <v>386</v>
      </c>
      <c r="BV223" s="363" t="s">
        <v>386</v>
      </c>
      <c r="BW223" s="363" t="s">
        <v>386</v>
      </c>
      <c r="BX223" s="364" t="s">
        <v>386</v>
      </c>
      <c r="BY223" s="363" t="s">
        <v>386</v>
      </c>
      <c r="BZ223" s="363" t="s">
        <v>386</v>
      </c>
      <c r="CA223" s="363" t="s">
        <v>386</v>
      </c>
      <c r="CB223" s="363" t="s">
        <v>386</v>
      </c>
      <c r="CC223" s="363" t="s">
        <v>386</v>
      </c>
      <c r="CD223" s="362" t="s">
        <v>386</v>
      </c>
      <c r="CE223" s="363" t="s">
        <v>386</v>
      </c>
      <c r="CF223" s="363" t="s">
        <v>386</v>
      </c>
      <c r="CG223" s="363" t="s">
        <v>386</v>
      </c>
      <c r="CH223" s="364" t="s">
        <v>386</v>
      </c>
    </row>
    <row r="224" spans="1:86" x14ac:dyDescent="0.25">
      <c r="A224" s="223" t="s">
        <v>333</v>
      </c>
      <c r="B224" s="229">
        <v>67.08</v>
      </c>
      <c r="C224" s="220">
        <v>49.48</v>
      </c>
      <c r="D224" s="220">
        <v>60.6</v>
      </c>
      <c r="E224" s="220">
        <v>38.96</v>
      </c>
      <c r="F224" s="224">
        <v>64.63</v>
      </c>
      <c r="G224" s="220">
        <v>49.08</v>
      </c>
      <c r="H224" s="220">
        <v>40.659999999999997</v>
      </c>
      <c r="I224" s="220">
        <v>36.79</v>
      </c>
      <c r="J224" s="220">
        <v>53.14</v>
      </c>
      <c r="K224" s="220">
        <v>44.16</v>
      </c>
      <c r="L224" s="229">
        <v>190.53</v>
      </c>
      <c r="M224" s="220">
        <v>142.84</v>
      </c>
      <c r="N224" s="220">
        <v>140.91</v>
      </c>
      <c r="O224" s="220">
        <v>183.26</v>
      </c>
      <c r="P224" s="224">
        <v>177.77</v>
      </c>
      <c r="Q224" s="220">
        <v>54.5</v>
      </c>
      <c r="R224" s="220">
        <v>34.4</v>
      </c>
      <c r="S224" s="220">
        <v>56.3</v>
      </c>
      <c r="T224" s="220">
        <v>53.6</v>
      </c>
      <c r="U224" s="220">
        <v>58.5</v>
      </c>
      <c r="V224" s="229">
        <v>114.7</v>
      </c>
      <c r="W224" s="220">
        <v>61.6</v>
      </c>
      <c r="X224" s="220">
        <v>80.27</v>
      </c>
      <c r="Y224" s="220">
        <v>60.8</v>
      </c>
      <c r="Z224" s="224">
        <v>96.06</v>
      </c>
      <c r="AA224" s="363" t="s">
        <v>386</v>
      </c>
      <c r="AB224" s="363" t="s">
        <v>386</v>
      </c>
      <c r="AC224" s="363" t="s">
        <v>386</v>
      </c>
      <c r="AD224" s="363" t="s">
        <v>386</v>
      </c>
      <c r="AE224" s="363" t="s">
        <v>386</v>
      </c>
      <c r="AF224" s="229">
        <v>59</v>
      </c>
      <c r="AG224" s="220">
        <v>83.83</v>
      </c>
      <c r="AH224" s="220">
        <v>80.959999999999994</v>
      </c>
      <c r="AI224" s="220">
        <v>109.84</v>
      </c>
      <c r="AJ224" s="224">
        <v>102.74</v>
      </c>
      <c r="AK224" s="363" t="s">
        <v>386</v>
      </c>
      <c r="AL224" s="363" t="s">
        <v>386</v>
      </c>
      <c r="AM224" s="363" t="s">
        <v>386</v>
      </c>
      <c r="AN224" s="363" t="s">
        <v>386</v>
      </c>
      <c r="AO224" s="363" t="s">
        <v>386</v>
      </c>
      <c r="AP224" s="229">
        <v>2055.2800000000002</v>
      </c>
      <c r="AQ224" s="220">
        <v>2412.9899999999998</v>
      </c>
      <c r="AR224" s="220">
        <v>2349.64</v>
      </c>
      <c r="AS224" s="220">
        <v>1722.48</v>
      </c>
      <c r="AT224" s="224">
        <v>1509.68</v>
      </c>
      <c r="AU224" s="220">
        <v>2565</v>
      </c>
      <c r="AV224" s="220">
        <v>1256</v>
      </c>
      <c r="AW224" s="220">
        <v>2264</v>
      </c>
      <c r="AX224" s="220">
        <v>2529</v>
      </c>
      <c r="AY224" s="220">
        <v>2475</v>
      </c>
      <c r="AZ224" s="229" t="s">
        <v>386</v>
      </c>
      <c r="BA224" s="220" t="s">
        <v>386</v>
      </c>
      <c r="BB224" s="220" t="s">
        <v>386</v>
      </c>
      <c r="BC224" s="220" t="s">
        <v>386</v>
      </c>
      <c r="BD224" s="224" t="s">
        <v>386</v>
      </c>
      <c r="BE224" s="363" t="s">
        <v>386</v>
      </c>
      <c r="BF224" s="363" t="s">
        <v>386</v>
      </c>
      <c r="BG224" s="363" t="s">
        <v>386</v>
      </c>
      <c r="BH224" s="363" t="s">
        <v>386</v>
      </c>
      <c r="BI224" s="363" t="s">
        <v>386</v>
      </c>
      <c r="BJ224" s="362" t="s">
        <v>386</v>
      </c>
      <c r="BK224" s="363" t="s">
        <v>386</v>
      </c>
      <c r="BL224" s="363" t="s">
        <v>386</v>
      </c>
      <c r="BM224" s="363" t="s">
        <v>386</v>
      </c>
      <c r="BN224" s="364" t="s">
        <v>386</v>
      </c>
      <c r="BO224" s="363" t="s">
        <v>386</v>
      </c>
      <c r="BP224" s="363" t="s">
        <v>386</v>
      </c>
      <c r="BQ224" s="363" t="s">
        <v>386</v>
      </c>
      <c r="BR224" s="363" t="s">
        <v>386</v>
      </c>
      <c r="BS224" s="364" t="s">
        <v>386</v>
      </c>
      <c r="BT224" s="363" t="s">
        <v>386</v>
      </c>
      <c r="BU224" s="363" t="s">
        <v>386</v>
      </c>
      <c r="BV224" s="363" t="s">
        <v>386</v>
      </c>
      <c r="BW224" s="363" t="s">
        <v>386</v>
      </c>
      <c r="BX224" s="364" t="s">
        <v>386</v>
      </c>
      <c r="BY224" s="363" t="s">
        <v>386</v>
      </c>
      <c r="BZ224" s="363" t="s">
        <v>386</v>
      </c>
      <c r="CA224" s="363" t="s">
        <v>386</v>
      </c>
      <c r="CB224" s="363" t="s">
        <v>386</v>
      </c>
      <c r="CC224" s="363" t="s">
        <v>386</v>
      </c>
      <c r="CD224" s="362" t="s">
        <v>386</v>
      </c>
      <c r="CE224" s="363" t="s">
        <v>386</v>
      </c>
      <c r="CF224" s="363" t="s">
        <v>386</v>
      </c>
      <c r="CG224" s="363" t="s">
        <v>386</v>
      </c>
      <c r="CH224" s="364" t="s">
        <v>386</v>
      </c>
    </row>
    <row r="225" spans="1:86" x14ac:dyDescent="0.25">
      <c r="A225" s="223" t="s">
        <v>334</v>
      </c>
      <c r="B225" s="229">
        <v>74.36</v>
      </c>
      <c r="C225" s="220">
        <v>62.39</v>
      </c>
      <c r="D225" s="220">
        <v>59.32</v>
      </c>
      <c r="E225" s="220">
        <v>46.46</v>
      </c>
      <c r="F225" s="224">
        <v>48.45</v>
      </c>
      <c r="G225" s="220">
        <v>51.190000000000005</v>
      </c>
      <c r="H225" s="220">
        <v>47.44</v>
      </c>
      <c r="I225" s="220">
        <v>38.04</v>
      </c>
      <c r="J225" s="220">
        <v>47.300000000000004</v>
      </c>
      <c r="K225" s="220">
        <v>42.68</v>
      </c>
      <c r="L225" s="229">
        <v>192.60999999999999</v>
      </c>
      <c r="M225" s="220">
        <v>163.85</v>
      </c>
      <c r="N225" s="220">
        <v>128.36000000000001</v>
      </c>
      <c r="O225" s="220">
        <v>186.41</v>
      </c>
      <c r="P225" s="224">
        <v>173.28</v>
      </c>
      <c r="Q225" s="220">
        <v>42.3</v>
      </c>
      <c r="R225" s="220">
        <v>40</v>
      </c>
      <c r="S225" s="220">
        <v>46.5</v>
      </c>
      <c r="T225" s="220">
        <v>47.3</v>
      </c>
      <c r="U225" s="220">
        <v>41.8</v>
      </c>
      <c r="V225" s="229">
        <v>88.3</v>
      </c>
      <c r="W225" s="220">
        <v>56.8</v>
      </c>
      <c r="X225" s="220">
        <v>69.27</v>
      </c>
      <c r="Y225" s="220">
        <v>79.63</v>
      </c>
      <c r="Z225" s="224">
        <v>84.79</v>
      </c>
      <c r="AA225" s="363" t="s">
        <v>386</v>
      </c>
      <c r="AB225" s="363" t="s">
        <v>386</v>
      </c>
      <c r="AC225" s="363" t="s">
        <v>386</v>
      </c>
      <c r="AD225" s="363" t="s">
        <v>386</v>
      </c>
      <c r="AE225" s="363" t="s">
        <v>386</v>
      </c>
      <c r="AF225" s="229">
        <v>93.1</v>
      </c>
      <c r="AG225" s="220">
        <v>76</v>
      </c>
      <c r="AH225" s="220">
        <v>86.1</v>
      </c>
      <c r="AI225" s="220">
        <v>94.2</v>
      </c>
      <c r="AJ225" s="224">
        <v>97.8</v>
      </c>
      <c r="AK225" s="363" t="s">
        <v>386</v>
      </c>
      <c r="AL225" s="363" t="s">
        <v>386</v>
      </c>
      <c r="AM225" s="363" t="s">
        <v>386</v>
      </c>
      <c r="AN225" s="363" t="s">
        <v>386</v>
      </c>
      <c r="AO225" s="363" t="s">
        <v>386</v>
      </c>
      <c r="AP225" s="229">
        <v>2322</v>
      </c>
      <c r="AQ225" s="220">
        <v>2929</v>
      </c>
      <c r="AR225" s="220">
        <v>2615</v>
      </c>
      <c r="AS225" s="220">
        <v>2654</v>
      </c>
      <c r="AT225" s="224">
        <v>2183</v>
      </c>
      <c r="AU225" s="363" t="s">
        <v>386</v>
      </c>
      <c r="AV225" s="363" t="s">
        <v>386</v>
      </c>
      <c r="AW225" s="363" t="s">
        <v>386</v>
      </c>
      <c r="AX225" s="363" t="s">
        <v>386</v>
      </c>
      <c r="AY225" s="363" t="s">
        <v>386</v>
      </c>
      <c r="AZ225" s="229" t="s">
        <v>386</v>
      </c>
      <c r="BA225" s="220" t="s">
        <v>386</v>
      </c>
      <c r="BB225" s="220" t="s">
        <v>386</v>
      </c>
      <c r="BC225" s="220" t="s">
        <v>386</v>
      </c>
      <c r="BD225" s="224" t="s">
        <v>386</v>
      </c>
      <c r="BE225" s="363" t="s">
        <v>386</v>
      </c>
      <c r="BF225" s="363" t="s">
        <v>386</v>
      </c>
      <c r="BG225" s="363" t="s">
        <v>386</v>
      </c>
      <c r="BH225" s="363" t="s">
        <v>386</v>
      </c>
      <c r="BI225" s="363" t="s">
        <v>386</v>
      </c>
      <c r="BJ225" s="362" t="s">
        <v>386</v>
      </c>
      <c r="BK225" s="363" t="s">
        <v>386</v>
      </c>
      <c r="BL225" s="363" t="s">
        <v>386</v>
      </c>
      <c r="BM225" s="363" t="s">
        <v>386</v>
      </c>
      <c r="BN225" s="364" t="s">
        <v>386</v>
      </c>
      <c r="BO225" s="363" t="s">
        <v>386</v>
      </c>
      <c r="BP225" s="363" t="s">
        <v>386</v>
      </c>
      <c r="BQ225" s="363" t="s">
        <v>386</v>
      </c>
      <c r="BR225" s="363" t="s">
        <v>386</v>
      </c>
      <c r="BS225" s="364" t="s">
        <v>386</v>
      </c>
      <c r="BT225" s="363" t="s">
        <v>386</v>
      </c>
      <c r="BU225" s="363" t="s">
        <v>386</v>
      </c>
      <c r="BV225" s="363" t="s">
        <v>386</v>
      </c>
      <c r="BW225" s="363" t="s">
        <v>386</v>
      </c>
      <c r="BX225" s="364" t="s">
        <v>386</v>
      </c>
      <c r="BY225" s="363" t="s">
        <v>386</v>
      </c>
      <c r="BZ225" s="363" t="s">
        <v>386</v>
      </c>
      <c r="CA225" s="363" t="s">
        <v>386</v>
      </c>
      <c r="CB225" s="363" t="s">
        <v>386</v>
      </c>
      <c r="CC225" s="363" t="s">
        <v>386</v>
      </c>
      <c r="CD225" s="362" t="s">
        <v>386</v>
      </c>
      <c r="CE225" s="363" t="s">
        <v>386</v>
      </c>
      <c r="CF225" s="363" t="s">
        <v>386</v>
      </c>
      <c r="CG225" s="363" t="s">
        <v>386</v>
      </c>
      <c r="CH225" s="364" t="s">
        <v>386</v>
      </c>
    </row>
    <row r="226" spans="1:86" x14ac:dyDescent="0.25">
      <c r="A226" s="223" t="s">
        <v>335</v>
      </c>
      <c r="B226" s="229">
        <v>28.34</v>
      </c>
      <c r="C226" s="220">
        <v>27.25</v>
      </c>
      <c r="D226" s="220">
        <v>41.71</v>
      </c>
      <c r="E226" s="220">
        <v>45.379999999999995</v>
      </c>
      <c r="F226" s="224">
        <v>32.090000000000003</v>
      </c>
      <c r="G226" s="220">
        <v>23.32</v>
      </c>
      <c r="H226" s="220">
        <v>20</v>
      </c>
      <c r="I226" s="220">
        <v>20</v>
      </c>
      <c r="J226" s="220">
        <v>23.54</v>
      </c>
      <c r="K226" s="220">
        <v>20</v>
      </c>
      <c r="L226" s="229">
        <v>70.8</v>
      </c>
      <c r="M226" s="220">
        <v>54.4</v>
      </c>
      <c r="N226" s="220">
        <v>61.35</v>
      </c>
      <c r="O226" s="220">
        <v>97.84</v>
      </c>
      <c r="P226" s="224">
        <v>55.47</v>
      </c>
      <c r="Q226" s="220">
        <v>30.3</v>
      </c>
      <c r="R226" s="220">
        <v>26.4</v>
      </c>
      <c r="S226" s="220">
        <v>39.840000000000003</v>
      </c>
      <c r="T226" s="220">
        <v>59.78</v>
      </c>
      <c r="U226" s="220">
        <v>34.9</v>
      </c>
      <c r="V226" s="229">
        <v>55.77</v>
      </c>
      <c r="W226" s="220">
        <v>31.2</v>
      </c>
      <c r="X226" s="220">
        <v>54.58</v>
      </c>
      <c r="Y226" s="220">
        <v>49.7</v>
      </c>
      <c r="Z226" s="224">
        <v>49</v>
      </c>
      <c r="AA226" s="220">
        <v>14.5</v>
      </c>
      <c r="AB226" s="220">
        <v>13.6</v>
      </c>
      <c r="AC226" s="220">
        <v>18.2</v>
      </c>
      <c r="AD226" s="220">
        <v>25.9</v>
      </c>
      <c r="AE226" s="220">
        <v>19.399999999999999</v>
      </c>
      <c r="AF226" s="229">
        <v>47.85</v>
      </c>
      <c r="AG226" s="220">
        <v>31.9</v>
      </c>
      <c r="AH226" s="220">
        <v>24.4</v>
      </c>
      <c r="AI226" s="220">
        <v>41.3</v>
      </c>
      <c r="AJ226" s="224">
        <v>55.55</v>
      </c>
      <c r="AK226" s="220">
        <v>1721</v>
      </c>
      <c r="AL226" s="220">
        <v>1455</v>
      </c>
      <c r="AM226" s="220">
        <v>2148.4499999999998</v>
      </c>
      <c r="AN226" s="220">
        <v>2213.44</v>
      </c>
      <c r="AO226" s="220">
        <v>1479.83</v>
      </c>
      <c r="AP226" s="229">
        <v>1479.19</v>
      </c>
      <c r="AQ226" s="220">
        <v>1295.02</v>
      </c>
      <c r="AR226" s="220">
        <v>1555.18</v>
      </c>
      <c r="AS226" s="220">
        <v>1710.9</v>
      </c>
      <c r="AT226" s="224">
        <v>1456.55</v>
      </c>
      <c r="AU226" s="363">
        <v>1691</v>
      </c>
      <c r="AV226" s="363">
        <v>1368.8</v>
      </c>
      <c r="AW226" s="363">
        <v>1787</v>
      </c>
      <c r="AX226" s="363">
        <v>2396</v>
      </c>
      <c r="AY226" s="363">
        <v>1700</v>
      </c>
      <c r="AZ226" s="229">
        <v>1691</v>
      </c>
      <c r="BA226" s="220">
        <v>1373.6</v>
      </c>
      <c r="BB226" s="220">
        <v>1787</v>
      </c>
      <c r="BC226" s="220">
        <v>2396</v>
      </c>
      <c r="BD226" s="224">
        <v>1700</v>
      </c>
      <c r="BE226" s="220">
        <v>1117</v>
      </c>
      <c r="BF226" s="220">
        <v>864</v>
      </c>
      <c r="BG226" s="220">
        <v>957</v>
      </c>
      <c r="BH226" s="220">
        <v>1033</v>
      </c>
      <c r="BI226" s="220">
        <v>956.8</v>
      </c>
      <c r="BJ226" s="362" t="s">
        <v>386</v>
      </c>
      <c r="BK226" s="363" t="s">
        <v>386</v>
      </c>
      <c r="BL226" s="363" t="s">
        <v>386</v>
      </c>
      <c r="BM226" s="363" t="s">
        <v>386</v>
      </c>
      <c r="BN226" s="364" t="s">
        <v>386</v>
      </c>
      <c r="BO226" s="363" t="s">
        <v>386</v>
      </c>
      <c r="BP226" s="363" t="s">
        <v>386</v>
      </c>
      <c r="BQ226" s="363" t="s">
        <v>386</v>
      </c>
      <c r="BR226" s="363" t="s">
        <v>386</v>
      </c>
      <c r="BS226" s="364" t="s">
        <v>386</v>
      </c>
      <c r="BT226" s="363" t="s">
        <v>386</v>
      </c>
      <c r="BU226" s="363" t="s">
        <v>386</v>
      </c>
      <c r="BV226" s="363" t="s">
        <v>386</v>
      </c>
      <c r="BW226" s="363" t="s">
        <v>386</v>
      </c>
      <c r="BX226" s="364" t="s">
        <v>386</v>
      </c>
      <c r="BY226" s="363">
        <v>1691</v>
      </c>
      <c r="BZ226" s="363">
        <v>930.4</v>
      </c>
      <c r="CA226" s="363">
        <v>1787</v>
      </c>
      <c r="CB226" s="363">
        <v>2396</v>
      </c>
      <c r="CC226" s="363">
        <v>1700</v>
      </c>
      <c r="CD226" s="362">
        <v>1691</v>
      </c>
      <c r="CE226" s="363">
        <v>1163.2</v>
      </c>
      <c r="CF226" s="363">
        <v>1787</v>
      </c>
      <c r="CG226" s="363">
        <v>2396</v>
      </c>
      <c r="CH226" s="364">
        <v>1700</v>
      </c>
    </row>
    <row r="227" spans="1:86" x14ac:dyDescent="0.25">
      <c r="A227" s="223" t="s">
        <v>336</v>
      </c>
      <c r="B227" s="229">
        <v>62.599999999999994</v>
      </c>
      <c r="C227" s="220">
        <v>33.65</v>
      </c>
      <c r="D227" s="220">
        <v>58.65</v>
      </c>
      <c r="E227" s="220">
        <v>33.99</v>
      </c>
      <c r="F227" s="224">
        <v>72.58</v>
      </c>
      <c r="G227" s="220">
        <v>37.85</v>
      </c>
      <c r="H227" s="220">
        <v>29.13</v>
      </c>
      <c r="I227" s="220">
        <v>31.8</v>
      </c>
      <c r="J227" s="220">
        <v>37.74</v>
      </c>
      <c r="K227" s="220">
        <v>45.45</v>
      </c>
      <c r="L227" s="229">
        <v>138.38000000000002</v>
      </c>
      <c r="M227" s="220">
        <v>75</v>
      </c>
      <c r="N227" s="220">
        <v>105.92</v>
      </c>
      <c r="O227" s="220">
        <v>125.87</v>
      </c>
      <c r="P227" s="224">
        <v>144.94</v>
      </c>
      <c r="Q227" s="220">
        <v>42</v>
      </c>
      <c r="R227" s="220">
        <v>17.600000000000001</v>
      </c>
      <c r="S227" s="220">
        <v>44.4</v>
      </c>
      <c r="T227" s="220">
        <v>39.4</v>
      </c>
      <c r="U227" s="220">
        <v>37</v>
      </c>
      <c r="V227" s="229">
        <v>67.84</v>
      </c>
      <c r="W227" s="220">
        <v>48.8</v>
      </c>
      <c r="X227" s="220">
        <v>68.010000000000005</v>
      </c>
      <c r="Y227" s="220">
        <v>48</v>
      </c>
      <c r="Z227" s="224">
        <v>90.64</v>
      </c>
      <c r="AA227" s="220">
        <v>16.5</v>
      </c>
      <c r="AB227" s="220">
        <v>8.8000000000000007</v>
      </c>
      <c r="AC227" s="220">
        <v>15.1</v>
      </c>
      <c r="AD227" s="220">
        <v>15.7</v>
      </c>
      <c r="AE227" s="220">
        <v>17.2</v>
      </c>
      <c r="AF227" s="229">
        <v>103.07</v>
      </c>
      <c r="AG227" s="220">
        <v>56.4</v>
      </c>
      <c r="AH227" s="220">
        <v>91.17</v>
      </c>
      <c r="AI227" s="220">
        <v>85.23</v>
      </c>
      <c r="AJ227" s="224">
        <v>108.89999999999999</v>
      </c>
      <c r="AK227" s="220">
        <v>1721</v>
      </c>
      <c r="AL227" s="220">
        <v>1455</v>
      </c>
      <c r="AM227" s="220">
        <v>2148.4499999999998</v>
      </c>
      <c r="AN227" s="220">
        <v>2213.44</v>
      </c>
      <c r="AO227" s="220">
        <v>1969.88</v>
      </c>
      <c r="AP227" s="229">
        <v>2434.2400000000002</v>
      </c>
      <c r="AQ227" s="220">
        <v>2335.7999999999997</v>
      </c>
      <c r="AR227" s="220">
        <v>2197.62</v>
      </c>
      <c r="AS227" s="220">
        <v>1586.1200000000001</v>
      </c>
      <c r="AT227" s="224">
        <v>1666.85</v>
      </c>
      <c r="AU227" s="220">
        <v>1684.8</v>
      </c>
      <c r="AV227" s="220">
        <v>1571.2</v>
      </c>
      <c r="AW227" s="220">
        <v>1633.6</v>
      </c>
      <c r="AX227" s="220">
        <v>2548</v>
      </c>
      <c r="AY227" s="220">
        <v>2406.64</v>
      </c>
      <c r="AZ227" s="229" t="s">
        <v>386</v>
      </c>
      <c r="BA227" s="220" t="s">
        <v>386</v>
      </c>
      <c r="BB227" s="220" t="s">
        <v>386</v>
      </c>
      <c r="BC227" s="220" t="s">
        <v>386</v>
      </c>
      <c r="BD227" s="224" t="s">
        <v>386</v>
      </c>
      <c r="BE227" s="363" t="s">
        <v>386</v>
      </c>
      <c r="BF227" s="363" t="s">
        <v>386</v>
      </c>
      <c r="BG227" s="363" t="s">
        <v>386</v>
      </c>
      <c r="BH227" s="363" t="s">
        <v>386</v>
      </c>
      <c r="BI227" s="363" t="s">
        <v>386</v>
      </c>
      <c r="BJ227" s="362" t="s">
        <v>386</v>
      </c>
      <c r="BK227" s="363" t="s">
        <v>386</v>
      </c>
      <c r="BL227" s="363" t="s">
        <v>386</v>
      </c>
      <c r="BM227" s="363" t="s">
        <v>386</v>
      </c>
      <c r="BN227" s="364" t="s">
        <v>386</v>
      </c>
      <c r="BO227" s="363" t="s">
        <v>386</v>
      </c>
      <c r="BP227" s="363" t="s">
        <v>386</v>
      </c>
      <c r="BQ227" s="363" t="s">
        <v>386</v>
      </c>
      <c r="BR227" s="363" t="s">
        <v>386</v>
      </c>
      <c r="BS227" s="364" t="s">
        <v>386</v>
      </c>
      <c r="BT227" s="220" t="s">
        <v>386</v>
      </c>
      <c r="BU227" s="220" t="s">
        <v>386</v>
      </c>
      <c r="BV227" s="220" t="s">
        <v>386</v>
      </c>
      <c r="BW227" s="220" t="s">
        <v>386</v>
      </c>
      <c r="BX227" s="224" t="s">
        <v>386</v>
      </c>
      <c r="BY227" s="220">
        <v>2385</v>
      </c>
      <c r="BZ227" s="220">
        <v>992.8</v>
      </c>
      <c r="CA227" s="220">
        <v>1898</v>
      </c>
      <c r="CB227" s="220">
        <v>2548</v>
      </c>
      <c r="CC227" s="220">
        <v>2475</v>
      </c>
      <c r="CD227" s="362">
        <v>2385</v>
      </c>
      <c r="CE227" s="363">
        <v>992.8</v>
      </c>
      <c r="CF227" s="363">
        <v>1898</v>
      </c>
      <c r="CG227" s="363">
        <v>2548</v>
      </c>
      <c r="CH227" s="364">
        <v>2475</v>
      </c>
    </row>
    <row r="228" spans="1:86" x14ac:dyDescent="0.25">
      <c r="A228" s="223" t="s">
        <v>337</v>
      </c>
      <c r="B228" s="229">
        <v>71.61</v>
      </c>
      <c r="C228" s="220">
        <v>54.36</v>
      </c>
      <c r="D228" s="220">
        <v>63.019999999999996</v>
      </c>
      <c r="E228" s="220">
        <v>50.1</v>
      </c>
      <c r="F228" s="224">
        <v>80.540000000000006</v>
      </c>
      <c r="G228" s="220">
        <v>48.59</v>
      </c>
      <c r="H228" s="220">
        <v>38.96</v>
      </c>
      <c r="I228" s="220">
        <v>37.080000000000005</v>
      </c>
      <c r="J228" s="220">
        <v>44.73</v>
      </c>
      <c r="K228" s="220">
        <v>41.21</v>
      </c>
      <c r="L228" s="229">
        <v>193.7</v>
      </c>
      <c r="M228" s="220">
        <v>135.69999999999999</v>
      </c>
      <c r="N228" s="220">
        <v>122.39999999999999</v>
      </c>
      <c r="O228" s="220">
        <v>179.42</v>
      </c>
      <c r="P228" s="224">
        <v>164.85</v>
      </c>
      <c r="Q228" s="220">
        <v>42.3</v>
      </c>
      <c r="R228" s="220">
        <v>38.4</v>
      </c>
      <c r="S228" s="220">
        <v>46.5</v>
      </c>
      <c r="T228" s="220">
        <v>47.3</v>
      </c>
      <c r="U228" s="220">
        <v>41.8</v>
      </c>
      <c r="V228" s="229">
        <v>71.56</v>
      </c>
      <c r="W228" s="220">
        <v>60.8</v>
      </c>
      <c r="X228" s="220">
        <v>79.11</v>
      </c>
      <c r="Y228" s="220">
        <v>69.42</v>
      </c>
      <c r="Z228" s="224">
        <v>84.37</v>
      </c>
      <c r="AA228" s="363" t="s">
        <v>386</v>
      </c>
      <c r="AB228" s="363" t="s">
        <v>386</v>
      </c>
      <c r="AC228" s="363" t="s">
        <v>386</v>
      </c>
      <c r="AD228" s="363" t="s">
        <v>386</v>
      </c>
      <c r="AE228" s="363" t="s">
        <v>386</v>
      </c>
      <c r="AF228" s="229">
        <v>93.8</v>
      </c>
      <c r="AG228" s="220">
        <v>72.5</v>
      </c>
      <c r="AH228" s="220">
        <v>87.1</v>
      </c>
      <c r="AI228" s="220">
        <v>95.4</v>
      </c>
      <c r="AJ228" s="224">
        <v>97.5</v>
      </c>
      <c r="AK228" s="363" t="s">
        <v>386</v>
      </c>
      <c r="AL228" s="363" t="s">
        <v>386</v>
      </c>
      <c r="AM228" s="363" t="s">
        <v>386</v>
      </c>
      <c r="AN228" s="363" t="s">
        <v>386</v>
      </c>
      <c r="AO228" s="363" t="s">
        <v>386</v>
      </c>
      <c r="AP228" s="229">
        <v>2229.9699999999998</v>
      </c>
      <c r="AQ228" s="220">
        <v>2536.41</v>
      </c>
      <c r="AR228" s="220">
        <v>2521.3000000000002</v>
      </c>
      <c r="AS228" s="220">
        <v>2518.94</v>
      </c>
      <c r="AT228" s="224">
        <v>1947.7</v>
      </c>
      <c r="AU228" s="363" t="s">
        <v>386</v>
      </c>
      <c r="AV228" s="363" t="s">
        <v>386</v>
      </c>
      <c r="AW228" s="363" t="s">
        <v>386</v>
      </c>
      <c r="AX228" s="363" t="s">
        <v>386</v>
      </c>
      <c r="AY228" s="363" t="s">
        <v>386</v>
      </c>
      <c r="AZ228" s="229" t="s">
        <v>386</v>
      </c>
      <c r="BA228" s="220" t="s">
        <v>386</v>
      </c>
      <c r="BB228" s="220" t="s">
        <v>386</v>
      </c>
      <c r="BC228" s="220" t="s">
        <v>386</v>
      </c>
      <c r="BD228" s="224" t="s">
        <v>386</v>
      </c>
      <c r="BE228" s="363" t="s">
        <v>386</v>
      </c>
      <c r="BF228" s="363" t="s">
        <v>386</v>
      </c>
      <c r="BG228" s="363" t="s">
        <v>386</v>
      </c>
      <c r="BH228" s="363" t="s">
        <v>386</v>
      </c>
      <c r="BI228" s="363" t="s">
        <v>386</v>
      </c>
      <c r="BJ228" s="362" t="s">
        <v>386</v>
      </c>
      <c r="BK228" s="363" t="s">
        <v>386</v>
      </c>
      <c r="BL228" s="363" t="s">
        <v>386</v>
      </c>
      <c r="BM228" s="363" t="s">
        <v>386</v>
      </c>
      <c r="BN228" s="364" t="s">
        <v>386</v>
      </c>
      <c r="BO228" s="363" t="s">
        <v>386</v>
      </c>
      <c r="BP228" s="363" t="s">
        <v>386</v>
      </c>
      <c r="BQ228" s="363" t="s">
        <v>386</v>
      </c>
      <c r="BR228" s="363" t="s">
        <v>386</v>
      </c>
      <c r="BS228" s="364" t="s">
        <v>386</v>
      </c>
      <c r="BT228" s="220" t="s">
        <v>386</v>
      </c>
      <c r="BU228" s="220" t="s">
        <v>386</v>
      </c>
      <c r="BV228" s="220" t="s">
        <v>386</v>
      </c>
      <c r="BW228" s="220" t="s">
        <v>386</v>
      </c>
      <c r="BX228" s="224" t="s">
        <v>386</v>
      </c>
      <c r="BY228" s="220">
        <v>2102</v>
      </c>
      <c r="BZ228" s="220">
        <v>1105.17</v>
      </c>
      <c r="CA228" s="220">
        <v>1656.92</v>
      </c>
      <c r="CB228" s="220">
        <v>1623.02</v>
      </c>
      <c r="CC228" s="220">
        <v>1906.37</v>
      </c>
      <c r="CD228" s="362" t="s">
        <v>386</v>
      </c>
      <c r="CE228" s="363" t="s">
        <v>386</v>
      </c>
      <c r="CF228" s="363" t="s">
        <v>386</v>
      </c>
      <c r="CG228" s="363" t="s">
        <v>386</v>
      </c>
      <c r="CH228" s="364" t="s">
        <v>386</v>
      </c>
    </row>
    <row r="229" spans="1:86" x14ac:dyDescent="0.25">
      <c r="A229" s="223" t="s">
        <v>338</v>
      </c>
      <c r="B229" s="229">
        <v>62.21</v>
      </c>
      <c r="C229" s="220">
        <v>37.129999999999995</v>
      </c>
      <c r="D229" s="220">
        <v>64.010000000000005</v>
      </c>
      <c r="E229" s="220">
        <v>41.93</v>
      </c>
      <c r="F229" s="224">
        <v>80.23</v>
      </c>
      <c r="G229" s="220">
        <v>48.620000000000005</v>
      </c>
      <c r="H229" s="220">
        <v>37.56</v>
      </c>
      <c r="I229" s="220">
        <v>40.18</v>
      </c>
      <c r="J229" s="220">
        <v>51.79</v>
      </c>
      <c r="K229" s="220">
        <v>47.82</v>
      </c>
      <c r="L229" s="229">
        <v>163.48999999999998</v>
      </c>
      <c r="M229" s="220">
        <v>116.48</v>
      </c>
      <c r="N229" s="220">
        <v>132.94</v>
      </c>
      <c r="O229" s="220">
        <v>168.09</v>
      </c>
      <c r="P229" s="224">
        <v>174.77</v>
      </c>
      <c r="Q229" s="220">
        <v>50.3</v>
      </c>
      <c r="R229" s="220">
        <v>37.6</v>
      </c>
      <c r="S229" s="220">
        <v>54</v>
      </c>
      <c r="T229" s="220">
        <v>49.5</v>
      </c>
      <c r="U229" s="220">
        <v>58.4</v>
      </c>
      <c r="V229" s="229">
        <v>81.209999999999994</v>
      </c>
      <c r="W229" s="220">
        <v>65.73</v>
      </c>
      <c r="X229" s="220">
        <v>79.06</v>
      </c>
      <c r="Y229" s="220">
        <v>88.96</v>
      </c>
      <c r="Z229" s="224">
        <v>113.82</v>
      </c>
      <c r="AA229" s="363" t="s">
        <v>386</v>
      </c>
      <c r="AB229" s="363" t="s">
        <v>386</v>
      </c>
      <c r="AC229" s="363" t="s">
        <v>386</v>
      </c>
      <c r="AD229" s="363" t="s">
        <v>386</v>
      </c>
      <c r="AE229" s="363" t="s">
        <v>386</v>
      </c>
      <c r="AF229" s="229">
        <v>94.86</v>
      </c>
      <c r="AG229" s="220">
        <v>78.23</v>
      </c>
      <c r="AH229" s="220">
        <v>95.11</v>
      </c>
      <c r="AI229" s="220">
        <v>103.44</v>
      </c>
      <c r="AJ229" s="224">
        <v>102.58</v>
      </c>
      <c r="AK229" s="220">
        <v>1721</v>
      </c>
      <c r="AL229" s="220">
        <v>1455</v>
      </c>
      <c r="AM229" s="220">
        <v>2148.4499999999998</v>
      </c>
      <c r="AN229" s="220">
        <v>2213.44</v>
      </c>
      <c r="AO229" s="220">
        <v>1969.88</v>
      </c>
      <c r="AP229" s="229">
        <v>2405.2600000000002</v>
      </c>
      <c r="AQ229" s="220">
        <v>2489.96</v>
      </c>
      <c r="AR229" s="220">
        <v>2290.15</v>
      </c>
      <c r="AS229" s="220">
        <v>2118.9900000000002</v>
      </c>
      <c r="AT229" s="224">
        <v>1787.55</v>
      </c>
      <c r="AU229" s="363" t="s">
        <v>386</v>
      </c>
      <c r="AV229" s="363" t="s">
        <v>386</v>
      </c>
      <c r="AW229" s="363" t="s">
        <v>386</v>
      </c>
      <c r="AX229" s="363" t="s">
        <v>386</v>
      </c>
      <c r="AY229" s="363" t="s">
        <v>386</v>
      </c>
      <c r="AZ229" s="229" t="s">
        <v>386</v>
      </c>
      <c r="BA229" s="220" t="s">
        <v>386</v>
      </c>
      <c r="BB229" s="220" t="s">
        <v>386</v>
      </c>
      <c r="BC229" s="220" t="s">
        <v>386</v>
      </c>
      <c r="BD229" s="224" t="s">
        <v>386</v>
      </c>
      <c r="BE229" s="363" t="s">
        <v>386</v>
      </c>
      <c r="BF229" s="363" t="s">
        <v>386</v>
      </c>
      <c r="BG229" s="363" t="s">
        <v>386</v>
      </c>
      <c r="BH229" s="363" t="s">
        <v>386</v>
      </c>
      <c r="BI229" s="363" t="s">
        <v>386</v>
      </c>
      <c r="BJ229" s="362" t="s">
        <v>386</v>
      </c>
      <c r="BK229" s="363" t="s">
        <v>386</v>
      </c>
      <c r="BL229" s="363" t="s">
        <v>386</v>
      </c>
      <c r="BM229" s="363" t="s">
        <v>386</v>
      </c>
      <c r="BN229" s="364" t="s">
        <v>386</v>
      </c>
      <c r="BO229" s="363" t="s">
        <v>386</v>
      </c>
      <c r="BP229" s="363" t="s">
        <v>386</v>
      </c>
      <c r="BQ229" s="363" t="s">
        <v>386</v>
      </c>
      <c r="BR229" s="363" t="s">
        <v>386</v>
      </c>
      <c r="BS229" s="364" t="s">
        <v>386</v>
      </c>
      <c r="BT229" s="363" t="s">
        <v>386</v>
      </c>
      <c r="BU229" s="363" t="s">
        <v>386</v>
      </c>
      <c r="BV229" s="363" t="s">
        <v>386</v>
      </c>
      <c r="BW229" s="363" t="s">
        <v>386</v>
      </c>
      <c r="BX229" s="364" t="s">
        <v>386</v>
      </c>
      <c r="BY229" s="363" t="s">
        <v>386</v>
      </c>
      <c r="BZ229" s="363" t="s">
        <v>386</v>
      </c>
      <c r="CA229" s="363" t="s">
        <v>386</v>
      </c>
      <c r="CB229" s="363" t="s">
        <v>386</v>
      </c>
      <c r="CC229" s="363" t="s">
        <v>386</v>
      </c>
      <c r="CD229" s="362" t="s">
        <v>386</v>
      </c>
      <c r="CE229" s="363" t="s">
        <v>386</v>
      </c>
      <c r="CF229" s="363" t="s">
        <v>386</v>
      </c>
      <c r="CG229" s="363" t="s">
        <v>386</v>
      </c>
      <c r="CH229" s="364" t="s">
        <v>386</v>
      </c>
    </row>
    <row r="230" spans="1:86" x14ac:dyDescent="0.25">
      <c r="A230" s="223" t="s">
        <v>339</v>
      </c>
      <c r="B230" s="229">
        <v>45</v>
      </c>
      <c r="C230" s="220">
        <v>25.3</v>
      </c>
      <c r="D230" s="220">
        <v>24.4</v>
      </c>
      <c r="E230" s="220">
        <v>50.339999999999996</v>
      </c>
      <c r="F230" s="224">
        <v>56.43</v>
      </c>
      <c r="G230" s="220">
        <v>17.600000000000001</v>
      </c>
      <c r="H230" s="220">
        <v>17.600000000000001</v>
      </c>
      <c r="I230" s="220">
        <v>22.51</v>
      </c>
      <c r="J230" s="220">
        <v>27.83</v>
      </c>
      <c r="K230" s="220">
        <v>18.18</v>
      </c>
      <c r="L230" s="229">
        <v>71.430000000000007</v>
      </c>
      <c r="M230" s="220">
        <v>52.8</v>
      </c>
      <c r="N230" s="220">
        <v>52.8</v>
      </c>
      <c r="O230" s="220">
        <v>83.92</v>
      </c>
      <c r="P230" s="224">
        <v>53.6</v>
      </c>
      <c r="Q230" s="220">
        <v>32.200000000000003</v>
      </c>
      <c r="R230" s="220">
        <v>21.6</v>
      </c>
      <c r="S230" s="220">
        <v>61.6</v>
      </c>
      <c r="T230" s="220">
        <v>61.2</v>
      </c>
      <c r="U230" s="220">
        <v>58.7</v>
      </c>
      <c r="V230" s="229">
        <v>68.2</v>
      </c>
      <c r="W230" s="220">
        <v>27.2</v>
      </c>
      <c r="X230" s="220">
        <v>36.799999999999997</v>
      </c>
      <c r="Y230" s="220">
        <v>85.73</v>
      </c>
      <c r="Z230" s="224">
        <v>59.29</v>
      </c>
      <c r="AA230" s="363" t="s">
        <v>386</v>
      </c>
      <c r="AB230" s="363" t="s">
        <v>386</v>
      </c>
      <c r="AC230" s="363" t="s">
        <v>386</v>
      </c>
      <c r="AD230" s="363" t="s">
        <v>386</v>
      </c>
      <c r="AE230" s="363" t="s">
        <v>386</v>
      </c>
      <c r="AF230" s="229">
        <v>53.87</v>
      </c>
      <c r="AG230" s="220">
        <v>25.6</v>
      </c>
      <c r="AH230" s="220">
        <v>33.61</v>
      </c>
      <c r="AI230" s="220">
        <v>64.540000000000006</v>
      </c>
      <c r="AJ230" s="224">
        <v>33.659999999999997</v>
      </c>
      <c r="AK230" s="220" t="s">
        <v>386</v>
      </c>
      <c r="AL230" s="220" t="s">
        <v>386</v>
      </c>
      <c r="AM230" s="220" t="s">
        <v>386</v>
      </c>
      <c r="AN230" s="220" t="s">
        <v>386</v>
      </c>
      <c r="AO230" s="220" t="s">
        <v>386</v>
      </c>
      <c r="AP230" s="229">
        <v>1970.07</v>
      </c>
      <c r="AQ230" s="220">
        <v>1165.8</v>
      </c>
      <c r="AR230" s="220">
        <v>1336</v>
      </c>
      <c r="AS230" s="220">
        <v>1668.53</v>
      </c>
      <c r="AT230" s="224">
        <v>1354.74</v>
      </c>
      <c r="AU230" s="363" t="s">
        <v>386</v>
      </c>
      <c r="AV230" s="363" t="s">
        <v>386</v>
      </c>
      <c r="AW230" s="363" t="s">
        <v>386</v>
      </c>
      <c r="AX230" s="363" t="s">
        <v>386</v>
      </c>
      <c r="AY230" s="363" t="s">
        <v>386</v>
      </c>
      <c r="AZ230" s="229" t="s">
        <v>386</v>
      </c>
      <c r="BA230" s="220" t="s">
        <v>386</v>
      </c>
      <c r="BB230" s="220" t="s">
        <v>386</v>
      </c>
      <c r="BC230" s="220" t="s">
        <v>386</v>
      </c>
      <c r="BD230" s="224" t="s">
        <v>386</v>
      </c>
      <c r="BE230" s="220">
        <v>1060</v>
      </c>
      <c r="BF230" s="220">
        <v>874</v>
      </c>
      <c r="BG230" s="220">
        <v>654.4</v>
      </c>
      <c r="BH230" s="220">
        <v>941</v>
      </c>
      <c r="BI230" s="220">
        <v>968</v>
      </c>
      <c r="BJ230" s="362" t="s">
        <v>386</v>
      </c>
      <c r="BK230" s="363" t="s">
        <v>386</v>
      </c>
      <c r="BL230" s="363" t="s">
        <v>386</v>
      </c>
      <c r="BM230" s="363" t="s">
        <v>386</v>
      </c>
      <c r="BN230" s="364" t="s">
        <v>386</v>
      </c>
      <c r="BO230" s="363" t="s">
        <v>386</v>
      </c>
      <c r="BP230" s="363" t="s">
        <v>386</v>
      </c>
      <c r="BQ230" s="363" t="s">
        <v>386</v>
      </c>
      <c r="BR230" s="363" t="s">
        <v>386</v>
      </c>
      <c r="BS230" s="364" t="s">
        <v>386</v>
      </c>
      <c r="BT230" s="363" t="s">
        <v>386</v>
      </c>
      <c r="BU230" s="363" t="s">
        <v>386</v>
      </c>
      <c r="BV230" s="363" t="s">
        <v>386</v>
      </c>
      <c r="BW230" s="363" t="s">
        <v>386</v>
      </c>
      <c r="BX230" s="364" t="s">
        <v>386</v>
      </c>
      <c r="BY230" s="363" t="s">
        <v>386</v>
      </c>
      <c r="BZ230" s="363" t="s">
        <v>386</v>
      </c>
      <c r="CA230" s="363" t="s">
        <v>386</v>
      </c>
      <c r="CB230" s="363" t="s">
        <v>386</v>
      </c>
      <c r="CC230" s="363" t="s">
        <v>386</v>
      </c>
      <c r="CD230" s="362" t="s">
        <v>386</v>
      </c>
      <c r="CE230" s="363" t="s">
        <v>386</v>
      </c>
      <c r="CF230" s="363" t="s">
        <v>386</v>
      </c>
      <c r="CG230" s="363" t="s">
        <v>386</v>
      </c>
      <c r="CH230" s="364" t="s">
        <v>386</v>
      </c>
    </row>
    <row r="231" spans="1:86" x14ac:dyDescent="0.25">
      <c r="A231" s="223" t="s">
        <v>340</v>
      </c>
      <c r="B231" s="229">
        <v>75.569999999999993</v>
      </c>
      <c r="C231" s="220">
        <v>46.25</v>
      </c>
      <c r="D231" s="220">
        <v>60.1</v>
      </c>
      <c r="E231" s="220">
        <v>38.239999999999995</v>
      </c>
      <c r="F231" s="224">
        <v>84.25</v>
      </c>
      <c r="G231" s="220">
        <v>52.870000000000005</v>
      </c>
      <c r="H231" s="220">
        <v>43.02</v>
      </c>
      <c r="I231" s="220">
        <v>36.08</v>
      </c>
      <c r="J231" s="220">
        <v>46.269999999999996</v>
      </c>
      <c r="K231" s="220">
        <v>49.300000000000004</v>
      </c>
      <c r="L231" s="229">
        <v>187.5</v>
      </c>
      <c r="M231" s="220">
        <v>134.32999999999998</v>
      </c>
      <c r="N231" s="220">
        <v>109.75999999999999</v>
      </c>
      <c r="O231" s="220">
        <v>154.20000000000002</v>
      </c>
      <c r="P231" s="224">
        <v>166.94000000000003</v>
      </c>
      <c r="Q231" s="220">
        <v>54.4</v>
      </c>
      <c r="R231" s="220">
        <v>38.4</v>
      </c>
      <c r="S231" s="220">
        <v>55.3</v>
      </c>
      <c r="T231" s="220">
        <v>53.5</v>
      </c>
      <c r="U231" s="220">
        <v>55.9</v>
      </c>
      <c r="V231" s="229">
        <v>88</v>
      </c>
      <c r="W231" s="220">
        <v>76.56</v>
      </c>
      <c r="X231" s="220">
        <v>94.62</v>
      </c>
      <c r="Y231" s="220">
        <v>68</v>
      </c>
      <c r="Z231" s="224">
        <v>112.88</v>
      </c>
      <c r="AA231" s="363" t="s">
        <v>386</v>
      </c>
      <c r="AB231" s="363" t="s">
        <v>386</v>
      </c>
      <c r="AC231" s="363" t="s">
        <v>386</v>
      </c>
      <c r="AD231" s="363" t="s">
        <v>386</v>
      </c>
      <c r="AE231" s="363" t="s">
        <v>386</v>
      </c>
      <c r="AF231" s="229">
        <v>97.759999999999991</v>
      </c>
      <c r="AG231" s="220">
        <v>62.949999999999996</v>
      </c>
      <c r="AH231" s="220">
        <v>64.03</v>
      </c>
      <c r="AI231" s="220">
        <v>90.69</v>
      </c>
      <c r="AJ231" s="224">
        <v>98.32</v>
      </c>
      <c r="AK231" s="363" t="s">
        <v>386</v>
      </c>
      <c r="AL231" s="363" t="s">
        <v>386</v>
      </c>
      <c r="AM231" s="363" t="s">
        <v>386</v>
      </c>
      <c r="AN231" s="363" t="s">
        <v>386</v>
      </c>
      <c r="AO231" s="363" t="s">
        <v>386</v>
      </c>
      <c r="AP231" s="229">
        <v>2244.7199999999998</v>
      </c>
      <c r="AQ231" s="220">
        <v>2180.6</v>
      </c>
      <c r="AR231" s="220">
        <v>1895.57</v>
      </c>
      <c r="AS231" s="220">
        <v>1728.33</v>
      </c>
      <c r="AT231" s="224">
        <v>1860.24</v>
      </c>
      <c r="AU231" s="363">
        <v>2565</v>
      </c>
      <c r="AV231" s="363">
        <v>1181.5999999999999</v>
      </c>
      <c r="AW231" s="363">
        <v>1879</v>
      </c>
      <c r="AX231" s="363">
        <v>2529</v>
      </c>
      <c r="AY231" s="363">
        <v>2475</v>
      </c>
      <c r="AZ231" s="229" t="s">
        <v>386</v>
      </c>
      <c r="BA231" s="220" t="s">
        <v>386</v>
      </c>
      <c r="BB231" s="220" t="s">
        <v>386</v>
      </c>
      <c r="BC231" s="220" t="s">
        <v>386</v>
      </c>
      <c r="BD231" s="224" t="s">
        <v>386</v>
      </c>
      <c r="BE231" s="363" t="s">
        <v>386</v>
      </c>
      <c r="BF231" s="363" t="s">
        <v>386</v>
      </c>
      <c r="BG231" s="363" t="s">
        <v>386</v>
      </c>
      <c r="BH231" s="363" t="s">
        <v>386</v>
      </c>
      <c r="BI231" s="363" t="s">
        <v>386</v>
      </c>
      <c r="BJ231" s="362" t="s">
        <v>386</v>
      </c>
      <c r="BK231" s="363" t="s">
        <v>386</v>
      </c>
      <c r="BL231" s="363" t="s">
        <v>386</v>
      </c>
      <c r="BM231" s="363" t="s">
        <v>386</v>
      </c>
      <c r="BN231" s="364" t="s">
        <v>386</v>
      </c>
      <c r="BO231" s="363" t="s">
        <v>386</v>
      </c>
      <c r="BP231" s="363" t="s">
        <v>386</v>
      </c>
      <c r="BQ231" s="363" t="s">
        <v>386</v>
      </c>
      <c r="BR231" s="363" t="s">
        <v>386</v>
      </c>
      <c r="BS231" s="364" t="s">
        <v>386</v>
      </c>
      <c r="BT231" s="363" t="s">
        <v>386</v>
      </c>
      <c r="BU231" s="363" t="s">
        <v>386</v>
      </c>
      <c r="BV231" s="363" t="s">
        <v>386</v>
      </c>
      <c r="BW231" s="363" t="s">
        <v>386</v>
      </c>
      <c r="BX231" s="364" t="s">
        <v>386</v>
      </c>
      <c r="BY231" s="363" t="s">
        <v>386</v>
      </c>
      <c r="BZ231" s="363" t="s">
        <v>386</v>
      </c>
      <c r="CA231" s="363" t="s">
        <v>386</v>
      </c>
      <c r="CB231" s="363" t="s">
        <v>386</v>
      </c>
      <c r="CC231" s="363" t="s">
        <v>386</v>
      </c>
      <c r="CD231" s="374" t="s">
        <v>386</v>
      </c>
      <c r="CE231" s="375" t="s">
        <v>386</v>
      </c>
      <c r="CF231" s="375" t="s">
        <v>386</v>
      </c>
      <c r="CG231" s="375" t="s">
        <v>386</v>
      </c>
      <c r="CH231" s="376" t="s">
        <v>386</v>
      </c>
    </row>
    <row r="232" spans="1:86" x14ac:dyDescent="0.25">
      <c r="A232" s="223" t="s">
        <v>341</v>
      </c>
      <c r="B232" s="229">
        <v>47.900000000000006</v>
      </c>
      <c r="C232" s="220">
        <v>29.43</v>
      </c>
      <c r="D232" s="220">
        <v>43.400000000000006</v>
      </c>
      <c r="E232" s="220">
        <v>39.54</v>
      </c>
      <c r="F232" s="224">
        <v>58.99</v>
      </c>
      <c r="G232" s="220">
        <v>20.329999999999998</v>
      </c>
      <c r="H232" s="220">
        <v>18.170000000000002</v>
      </c>
      <c r="I232" s="220">
        <v>24.64</v>
      </c>
      <c r="J232" s="220">
        <v>30.8</v>
      </c>
      <c r="K232" s="220">
        <v>23.82</v>
      </c>
      <c r="L232" s="229">
        <v>90.59</v>
      </c>
      <c r="M232" s="220">
        <v>63.15</v>
      </c>
      <c r="N232" s="220">
        <v>62.199999999999996</v>
      </c>
      <c r="O232" s="220">
        <v>97.38</v>
      </c>
      <c r="P232" s="224">
        <v>80.13000000000001</v>
      </c>
      <c r="Q232" s="220">
        <v>35.4</v>
      </c>
      <c r="R232" s="220">
        <v>24</v>
      </c>
      <c r="S232" s="220">
        <v>61.7</v>
      </c>
      <c r="T232" s="220">
        <v>60.9</v>
      </c>
      <c r="U232" s="220">
        <v>58.5</v>
      </c>
      <c r="V232" s="229">
        <v>83.29</v>
      </c>
      <c r="W232" s="220">
        <v>41.6</v>
      </c>
      <c r="X232" s="220">
        <v>73.790000000000006</v>
      </c>
      <c r="Y232" s="220">
        <v>92.81</v>
      </c>
      <c r="Z232" s="224">
        <v>90.07</v>
      </c>
      <c r="AA232" s="220">
        <v>16.399999999999999</v>
      </c>
      <c r="AB232" s="220">
        <v>10.4</v>
      </c>
      <c r="AC232" s="220">
        <v>15.3</v>
      </c>
      <c r="AD232" s="220">
        <v>15.7</v>
      </c>
      <c r="AE232" s="220">
        <v>17.100000000000001</v>
      </c>
      <c r="AF232" s="229">
        <v>72.89</v>
      </c>
      <c r="AG232" s="220">
        <v>55.370000000000005</v>
      </c>
      <c r="AH232" s="220">
        <v>56.93</v>
      </c>
      <c r="AI232" s="220">
        <v>85.35</v>
      </c>
      <c r="AJ232" s="224">
        <v>68.88</v>
      </c>
      <c r="AK232" s="363" t="s">
        <v>386</v>
      </c>
      <c r="AL232" s="363" t="s">
        <v>386</v>
      </c>
      <c r="AM232" s="363" t="s">
        <v>386</v>
      </c>
      <c r="AN232" s="363" t="s">
        <v>386</v>
      </c>
      <c r="AO232" s="363" t="s">
        <v>386</v>
      </c>
      <c r="AP232" s="229">
        <v>1619.27</v>
      </c>
      <c r="AQ232" s="220">
        <v>1125.17</v>
      </c>
      <c r="AR232" s="220">
        <v>1222.4000000000001</v>
      </c>
      <c r="AS232" s="220">
        <v>1317.68</v>
      </c>
      <c r="AT232" s="224">
        <v>1026.4000000000001</v>
      </c>
      <c r="AU232" s="220">
        <v>2239</v>
      </c>
      <c r="AV232" s="220">
        <v>1064</v>
      </c>
      <c r="AW232" s="220">
        <v>1754</v>
      </c>
      <c r="AX232" s="220">
        <v>2260</v>
      </c>
      <c r="AY232" s="220">
        <v>2220</v>
      </c>
      <c r="AZ232" s="229" t="s">
        <v>386</v>
      </c>
      <c r="BA232" s="220" t="s">
        <v>386</v>
      </c>
      <c r="BB232" s="220" t="s">
        <v>386</v>
      </c>
      <c r="BC232" s="220" t="s">
        <v>386</v>
      </c>
      <c r="BD232" s="224" t="s">
        <v>386</v>
      </c>
      <c r="BE232" s="220">
        <v>1346.28</v>
      </c>
      <c r="BF232" s="220">
        <v>924.31</v>
      </c>
      <c r="BG232" s="220">
        <v>653.6</v>
      </c>
      <c r="BH232" s="220">
        <v>1031</v>
      </c>
      <c r="BI232" s="220">
        <v>968</v>
      </c>
      <c r="BJ232" s="362" t="s">
        <v>386</v>
      </c>
      <c r="BK232" s="363" t="s">
        <v>386</v>
      </c>
      <c r="BL232" s="363" t="s">
        <v>386</v>
      </c>
      <c r="BM232" s="363" t="s">
        <v>386</v>
      </c>
      <c r="BN232" s="364" t="s">
        <v>386</v>
      </c>
      <c r="BO232" s="363" t="s">
        <v>386</v>
      </c>
      <c r="BP232" s="363" t="s">
        <v>386</v>
      </c>
      <c r="BQ232" s="363" t="s">
        <v>386</v>
      </c>
      <c r="BR232" s="363" t="s">
        <v>386</v>
      </c>
      <c r="BS232" s="364" t="s">
        <v>386</v>
      </c>
      <c r="BT232" s="363" t="s">
        <v>386</v>
      </c>
      <c r="BU232" s="363" t="s">
        <v>386</v>
      </c>
      <c r="BV232" s="363" t="s">
        <v>386</v>
      </c>
      <c r="BW232" s="363" t="s">
        <v>386</v>
      </c>
      <c r="BX232" s="364" t="s">
        <v>386</v>
      </c>
      <c r="BY232" s="363" t="s">
        <v>386</v>
      </c>
      <c r="BZ232" s="363" t="s">
        <v>386</v>
      </c>
      <c r="CA232" s="363" t="s">
        <v>386</v>
      </c>
      <c r="CB232" s="363" t="s">
        <v>386</v>
      </c>
      <c r="CC232" s="363" t="s">
        <v>386</v>
      </c>
      <c r="CD232" s="374" t="s">
        <v>386</v>
      </c>
      <c r="CE232" s="375" t="s">
        <v>386</v>
      </c>
      <c r="CF232" s="375" t="s">
        <v>386</v>
      </c>
      <c r="CG232" s="375" t="s">
        <v>386</v>
      </c>
      <c r="CH232" s="376" t="s">
        <v>386</v>
      </c>
    </row>
    <row r="233" spans="1:86" x14ac:dyDescent="0.25">
      <c r="A233" s="223" t="s">
        <v>342</v>
      </c>
      <c r="B233" s="229">
        <v>54.92</v>
      </c>
      <c r="C233" s="220">
        <v>53.05</v>
      </c>
      <c r="D233" s="220">
        <v>63.64</v>
      </c>
      <c r="E233" s="220">
        <v>45.300000000000004</v>
      </c>
      <c r="F233" s="224">
        <v>50.839999999999996</v>
      </c>
      <c r="G233" s="220">
        <v>53.91</v>
      </c>
      <c r="H233" s="220">
        <v>48.879999999999995</v>
      </c>
      <c r="I233" s="220">
        <v>43.449999999999996</v>
      </c>
      <c r="J233" s="220">
        <v>49.050000000000004</v>
      </c>
      <c r="K233" s="220">
        <v>45</v>
      </c>
      <c r="L233" s="229">
        <v>196.78</v>
      </c>
      <c r="M233" s="220">
        <v>177.39</v>
      </c>
      <c r="N233" s="220">
        <v>164.63</v>
      </c>
      <c r="O233" s="220">
        <v>179.6</v>
      </c>
      <c r="P233" s="224">
        <v>181.07</v>
      </c>
      <c r="Q233" s="220">
        <v>57.4</v>
      </c>
      <c r="R233" s="220">
        <v>38.4</v>
      </c>
      <c r="S233" s="220">
        <v>63.2</v>
      </c>
      <c r="T233" s="220">
        <v>58.8</v>
      </c>
      <c r="U233" s="220">
        <v>61</v>
      </c>
      <c r="V233" s="229">
        <v>74.63</v>
      </c>
      <c r="W233" s="220">
        <v>79.2</v>
      </c>
      <c r="X233" s="220">
        <v>93.04</v>
      </c>
      <c r="Y233" s="220">
        <v>82.78</v>
      </c>
      <c r="Z233" s="224">
        <v>93.69</v>
      </c>
      <c r="AA233" s="363">
        <v>17</v>
      </c>
      <c r="AB233" s="363">
        <v>12</v>
      </c>
      <c r="AC233" s="363">
        <v>12.2</v>
      </c>
      <c r="AD233" s="363">
        <v>14.7</v>
      </c>
      <c r="AE233" s="363">
        <v>15.4</v>
      </c>
      <c r="AF233" s="229">
        <v>92</v>
      </c>
      <c r="AG233" s="220">
        <v>81.3</v>
      </c>
      <c r="AH233" s="220">
        <v>85.83</v>
      </c>
      <c r="AI233" s="220">
        <v>100.7</v>
      </c>
      <c r="AJ233" s="224">
        <v>109.5</v>
      </c>
      <c r="AK233" s="363" t="s">
        <v>386</v>
      </c>
      <c r="AL233" s="363" t="s">
        <v>386</v>
      </c>
      <c r="AM233" s="363" t="s">
        <v>386</v>
      </c>
      <c r="AN233" s="363" t="s">
        <v>386</v>
      </c>
      <c r="AO233" s="363" t="s">
        <v>386</v>
      </c>
      <c r="AP233" s="229">
        <v>1930</v>
      </c>
      <c r="AQ233" s="220">
        <v>2290</v>
      </c>
      <c r="AR233" s="220">
        <v>2692</v>
      </c>
      <c r="AS233" s="220">
        <v>2309</v>
      </c>
      <c r="AT233" s="224">
        <v>1923</v>
      </c>
      <c r="AU233" s="363" t="s">
        <v>386</v>
      </c>
      <c r="AV233" s="363" t="s">
        <v>386</v>
      </c>
      <c r="AW233" s="363" t="s">
        <v>386</v>
      </c>
      <c r="AX233" s="363" t="s">
        <v>386</v>
      </c>
      <c r="AY233" s="363" t="s">
        <v>386</v>
      </c>
      <c r="AZ233" s="229" t="s">
        <v>386</v>
      </c>
      <c r="BA233" s="220" t="s">
        <v>386</v>
      </c>
      <c r="BB233" s="220" t="s">
        <v>386</v>
      </c>
      <c r="BC233" s="220" t="s">
        <v>386</v>
      </c>
      <c r="BD233" s="224" t="s">
        <v>386</v>
      </c>
      <c r="BE233" s="363" t="s">
        <v>386</v>
      </c>
      <c r="BF233" s="363" t="s">
        <v>386</v>
      </c>
      <c r="BG233" s="363" t="s">
        <v>386</v>
      </c>
      <c r="BH233" s="363" t="s">
        <v>386</v>
      </c>
      <c r="BI233" s="363" t="s">
        <v>386</v>
      </c>
      <c r="BJ233" s="362" t="s">
        <v>386</v>
      </c>
      <c r="BK233" s="363" t="s">
        <v>386</v>
      </c>
      <c r="BL233" s="363" t="s">
        <v>386</v>
      </c>
      <c r="BM233" s="363" t="s">
        <v>386</v>
      </c>
      <c r="BN233" s="364" t="s">
        <v>386</v>
      </c>
      <c r="BO233" s="363" t="s">
        <v>386</v>
      </c>
      <c r="BP233" s="363" t="s">
        <v>386</v>
      </c>
      <c r="BQ233" s="363" t="s">
        <v>386</v>
      </c>
      <c r="BR233" s="363" t="s">
        <v>386</v>
      </c>
      <c r="BS233" s="364" t="s">
        <v>386</v>
      </c>
      <c r="BT233" s="363" t="s">
        <v>386</v>
      </c>
      <c r="BU233" s="363" t="s">
        <v>386</v>
      </c>
      <c r="BV233" s="363" t="s">
        <v>386</v>
      </c>
      <c r="BW233" s="363" t="s">
        <v>386</v>
      </c>
      <c r="BX233" s="364" t="s">
        <v>386</v>
      </c>
      <c r="BY233" s="363" t="s">
        <v>386</v>
      </c>
      <c r="BZ233" s="363" t="s">
        <v>386</v>
      </c>
      <c r="CA233" s="363" t="s">
        <v>386</v>
      </c>
      <c r="CB233" s="363" t="s">
        <v>386</v>
      </c>
      <c r="CC233" s="363" t="s">
        <v>386</v>
      </c>
      <c r="CD233" s="374" t="s">
        <v>386</v>
      </c>
      <c r="CE233" s="375" t="s">
        <v>386</v>
      </c>
      <c r="CF233" s="375" t="s">
        <v>386</v>
      </c>
      <c r="CG233" s="375" t="s">
        <v>386</v>
      </c>
      <c r="CH233" s="376" t="s">
        <v>386</v>
      </c>
    </row>
    <row r="234" spans="1:86" x14ac:dyDescent="0.25">
      <c r="A234" s="223" t="s">
        <v>343</v>
      </c>
      <c r="B234" s="229">
        <v>83.45</v>
      </c>
      <c r="C234" s="220">
        <v>70.72</v>
      </c>
      <c r="D234" s="220">
        <v>76.39</v>
      </c>
      <c r="E234" s="220">
        <v>46.06</v>
      </c>
      <c r="F234" s="224">
        <v>82.100000000000009</v>
      </c>
      <c r="G234" s="220">
        <v>56.04</v>
      </c>
      <c r="H234" s="220">
        <v>45.279999999999994</v>
      </c>
      <c r="I234" s="220">
        <v>49.84</v>
      </c>
      <c r="J234" s="220">
        <v>54.74</v>
      </c>
      <c r="K234" s="220">
        <v>52.519999999999996</v>
      </c>
      <c r="L234" s="229">
        <v>201.75</v>
      </c>
      <c r="M234" s="220">
        <v>152.15</v>
      </c>
      <c r="N234" s="220">
        <v>176.01</v>
      </c>
      <c r="O234" s="220">
        <v>191.9</v>
      </c>
      <c r="P234" s="224">
        <v>196.46</v>
      </c>
      <c r="Q234" s="220">
        <v>42.3</v>
      </c>
      <c r="R234" s="220">
        <v>38.4</v>
      </c>
      <c r="S234" s="220">
        <v>46.5</v>
      </c>
      <c r="T234" s="220">
        <v>47.3</v>
      </c>
      <c r="U234" s="220">
        <v>44</v>
      </c>
      <c r="V234" s="229">
        <v>82.77</v>
      </c>
      <c r="W234" s="220">
        <v>73.599999999999994</v>
      </c>
      <c r="X234" s="220">
        <v>92.83</v>
      </c>
      <c r="Y234" s="220">
        <v>74.400000000000006</v>
      </c>
      <c r="Z234" s="224">
        <v>73.239999999999995</v>
      </c>
      <c r="AA234" s="220">
        <v>17</v>
      </c>
      <c r="AB234" s="220">
        <v>11.2</v>
      </c>
      <c r="AC234" s="220">
        <v>12.2</v>
      </c>
      <c r="AD234" s="220">
        <v>14.7</v>
      </c>
      <c r="AE234" s="220">
        <v>15.4</v>
      </c>
      <c r="AF234" s="229">
        <v>92.7</v>
      </c>
      <c r="AG234" s="220">
        <v>72.099999999999994</v>
      </c>
      <c r="AH234" s="220">
        <v>90.7</v>
      </c>
      <c r="AI234" s="220">
        <v>108.5</v>
      </c>
      <c r="AJ234" s="224">
        <v>110.7</v>
      </c>
      <c r="AK234" s="363" t="s">
        <v>386</v>
      </c>
      <c r="AL234" s="363" t="s">
        <v>386</v>
      </c>
      <c r="AM234" s="363" t="s">
        <v>386</v>
      </c>
      <c r="AN234" s="363" t="s">
        <v>386</v>
      </c>
      <c r="AO234" s="363" t="s">
        <v>386</v>
      </c>
      <c r="AP234" s="229">
        <v>1930</v>
      </c>
      <c r="AQ234" s="220">
        <v>2290</v>
      </c>
      <c r="AR234" s="220">
        <v>2692</v>
      </c>
      <c r="AS234" s="220">
        <v>2333</v>
      </c>
      <c r="AT234" s="224">
        <v>1758</v>
      </c>
      <c r="AU234" s="363" t="s">
        <v>386</v>
      </c>
      <c r="AV234" s="363" t="s">
        <v>386</v>
      </c>
      <c r="AW234" s="363" t="s">
        <v>386</v>
      </c>
      <c r="AX234" s="363" t="s">
        <v>386</v>
      </c>
      <c r="AY234" s="363" t="s">
        <v>386</v>
      </c>
      <c r="AZ234" s="229" t="s">
        <v>386</v>
      </c>
      <c r="BA234" s="220" t="s">
        <v>386</v>
      </c>
      <c r="BB234" s="220" t="s">
        <v>386</v>
      </c>
      <c r="BC234" s="220" t="s">
        <v>386</v>
      </c>
      <c r="BD234" s="224" t="s">
        <v>386</v>
      </c>
      <c r="BE234" s="363" t="s">
        <v>386</v>
      </c>
      <c r="BF234" s="363" t="s">
        <v>386</v>
      </c>
      <c r="BG234" s="363" t="s">
        <v>386</v>
      </c>
      <c r="BH234" s="363" t="s">
        <v>386</v>
      </c>
      <c r="BI234" s="363" t="s">
        <v>386</v>
      </c>
      <c r="BJ234" s="374" t="s">
        <v>386</v>
      </c>
      <c r="BK234" s="375" t="s">
        <v>386</v>
      </c>
      <c r="BL234" s="375" t="s">
        <v>386</v>
      </c>
      <c r="BM234" s="375" t="s">
        <v>386</v>
      </c>
      <c r="BN234" s="376" t="s">
        <v>386</v>
      </c>
      <c r="BO234" s="375" t="s">
        <v>386</v>
      </c>
      <c r="BP234" s="375" t="s">
        <v>386</v>
      </c>
      <c r="BQ234" s="375" t="s">
        <v>386</v>
      </c>
      <c r="BR234" s="375" t="s">
        <v>386</v>
      </c>
      <c r="BS234" s="376" t="s">
        <v>386</v>
      </c>
      <c r="BT234" s="363" t="s">
        <v>386</v>
      </c>
      <c r="BU234" s="363" t="s">
        <v>386</v>
      </c>
      <c r="BV234" s="363" t="s">
        <v>386</v>
      </c>
      <c r="BW234" s="363" t="s">
        <v>386</v>
      </c>
      <c r="BX234" s="364" t="s">
        <v>386</v>
      </c>
      <c r="BY234" s="363" t="s">
        <v>386</v>
      </c>
      <c r="BZ234" s="363" t="s">
        <v>386</v>
      </c>
      <c r="CA234" s="363" t="s">
        <v>386</v>
      </c>
      <c r="CB234" s="363" t="s">
        <v>386</v>
      </c>
      <c r="CC234" s="363" t="s">
        <v>386</v>
      </c>
      <c r="CD234" s="374" t="s">
        <v>386</v>
      </c>
      <c r="CE234" s="375" t="s">
        <v>386</v>
      </c>
      <c r="CF234" s="375" t="s">
        <v>386</v>
      </c>
      <c r="CG234" s="375" t="s">
        <v>386</v>
      </c>
      <c r="CH234" s="376" t="s">
        <v>386</v>
      </c>
    </row>
    <row r="235" spans="1:86" x14ac:dyDescent="0.25">
      <c r="A235" s="223" t="s">
        <v>344</v>
      </c>
      <c r="B235" s="229">
        <v>47.2</v>
      </c>
      <c r="C235" s="220">
        <v>25.6</v>
      </c>
      <c r="D235" s="220">
        <v>25.6</v>
      </c>
      <c r="E235" s="220">
        <v>58</v>
      </c>
      <c r="F235" s="224">
        <v>55.8</v>
      </c>
      <c r="G235" s="220">
        <v>23.32</v>
      </c>
      <c r="H235" s="220">
        <v>20.59</v>
      </c>
      <c r="I235" s="220">
        <v>19.95</v>
      </c>
      <c r="J235" s="220">
        <v>23.54</v>
      </c>
      <c r="K235" s="220">
        <v>21.96</v>
      </c>
      <c r="L235" s="229">
        <v>182.6</v>
      </c>
      <c r="M235" s="220">
        <v>183</v>
      </c>
      <c r="N235" s="220">
        <v>166.8</v>
      </c>
      <c r="O235" s="220">
        <v>184.7</v>
      </c>
      <c r="P235" s="224">
        <v>133.5</v>
      </c>
      <c r="Q235" s="220">
        <v>27.2</v>
      </c>
      <c r="R235" s="220">
        <v>27.2</v>
      </c>
      <c r="S235" s="220">
        <v>38.4</v>
      </c>
      <c r="T235" s="220">
        <v>50.4</v>
      </c>
      <c r="U235" s="220">
        <v>35.700000000000003</v>
      </c>
      <c r="V235" s="229">
        <v>45.2</v>
      </c>
      <c r="W235" s="220">
        <v>32</v>
      </c>
      <c r="X235" s="220">
        <v>57.8</v>
      </c>
      <c r="Y235" s="220">
        <v>55.2</v>
      </c>
      <c r="Z235" s="224">
        <v>57.1</v>
      </c>
      <c r="AA235" s="363" t="s">
        <v>386</v>
      </c>
      <c r="AB235" s="363" t="s">
        <v>386</v>
      </c>
      <c r="AC235" s="363" t="s">
        <v>386</v>
      </c>
      <c r="AD235" s="363" t="s">
        <v>386</v>
      </c>
      <c r="AE235" s="363" t="s">
        <v>386</v>
      </c>
      <c r="AF235" s="229">
        <v>31.67</v>
      </c>
      <c r="AG235" s="220">
        <v>24.5</v>
      </c>
      <c r="AH235" s="220">
        <v>31.37</v>
      </c>
      <c r="AI235" s="220">
        <v>49.71</v>
      </c>
      <c r="AJ235" s="224">
        <v>43.18</v>
      </c>
      <c r="AK235" s="363" t="s">
        <v>386</v>
      </c>
      <c r="AL235" s="363" t="s">
        <v>386</v>
      </c>
      <c r="AM235" s="363" t="s">
        <v>386</v>
      </c>
      <c r="AN235" s="363" t="s">
        <v>386</v>
      </c>
      <c r="AO235" s="363" t="s">
        <v>386</v>
      </c>
      <c r="AP235" s="229">
        <v>1270.73</v>
      </c>
      <c r="AQ235" s="220">
        <v>1659.16</v>
      </c>
      <c r="AR235" s="220">
        <v>1274.0899999999999</v>
      </c>
      <c r="AS235" s="220">
        <v>1496.52</v>
      </c>
      <c r="AT235" s="224">
        <v>1449.15</v>
      </c>
      <c r="AU235" s="220" t="s">
        <v>386</v>
      </c>
      <c r="AV235" s="220" t="s">
        <v>386</v>
      </c>
      <c r="AW235" s="220" t="s">
        <v>386</v>
      </c>
      <c r="AX235" s="220" t="s">
        <v>386</v>
      </c>
      <c r="AY235" s="220" t="s">
        <v>386</v>
      </c>
      <c r="AZ235" s="229" t="s">
        <v>386</v>
      </c>
      <c r="BA235" s="220" t="s">
        <v>386</v>
      </c>
      <c r="BB235" s="220" t="s">
        <v>386</v>
      </c>
      <c r="BC235" s="220" t="s">
        <v>386</v>
      </c>
      <c r="BD235" s="224" t="s">
        <v>386</v>
      </c>
      <c r="BE235" s="363" t="s">
        <v>386</v>
      </c>
      <c r="BF235" s="363" t="s">
        <v>386</v>
      </c>
      <c r="BG235" s="363" t="s">
        <v>386</v>
      </c>
      <c r="BH235" s="363" t="s">
        <v>386</v>
      </c>
      <c r="BI235" s="363" t="s">
        <v>386</v>
      </c>
      <c r="BJ235" s="374" t="s">
        <v>386</v>
      </c>
      <c r="BK235" s="375" t="s">
        <v>386</v>
      </c>
      <c r="BL235" s="375" t="s">
        <v>386</v>
      </c>
      <c r="BM235" s="375" t="s">
        <v>386</v>
      </c>
      <c r="BN235" s="376" t="s">
        <v>386</v>
      </c>
      <c r="BO235" s="375" t="s">
        <v>386</v>
      </c>
      <c r="BP235" s="375" t="s">
        <v>386</v>
      </c>
      <c r="BQ235" s="375" t="s">
        <v>386</v>
      </c>
      <c r="BR235" s="375" t="s">
        <v>386</v>
      </c>
      <c r="BS235" s="376" t="s">
        <v>386</v>
      </c>
      <c r="BT235" s="363" t="s">
        <v>386</v>
      </c>
      <c r="BU235" s="363" t="s">
        <v>386</v>
      </c>
      <c r="BV235" s="363" t="s">
        <v>386</v>
      </c>
      <c r="BW235" s="363" t="s">
        <v>386</v>
      </c>
      <c r="BX235" s="364" t="s">
        <v>386</v>
      </c>
      <c r="BY235" s="363" t="s">
        <v>386</v>
      </c>
      <c r="BZ235" s="363" t="s">
        <v>386</v>
      </c>
      <c r="CA235" s="363" t="s">
        <v>386</v>
      </c>
      <c r="CB235" s="363" t="s">
        <v>386</v>
      </c>
      <c r="CC235" s="363" t="s">
        <v>386</v>
      </c>
      <c r="CD235" s="374" t="s">
        <v>386</v>
      </c>
      <c r="CE235" s="375" t="s">
        <v>386</v>
      </c>
      <c r="CF235" s="375" t="s">
        <v>386</v>
      </c>
      <c r="CG235" s="375" t="s">
        <v>386</v>
      </c>
      <c r="CH235" s="376" t="s">
        <v>386</v>
      </c>
    </row>
    <row r="236" spans="1:86" x14ac:dyDescent="0.25">
      <c r="A236" s="223" t="s">
        <v>345</v>
      </c>
      <c r="B236" s="229">
        <v>60.5</v>
      </c>
      <c r="C236" s="220">
        <v>44</v>
      </c>
      <c r="D236" s="220">
        <v>58.9</v>
      </c>
      <c r="E236" s="220">
        <v>44</v>
      </c>
      <c r="F236" s="224">
        <v>70.77</v>
      </c>
      <c r="G236" s="220">
        <v>49.57</v>
      </c>
      <c r="H236" s="220">
        <v>59.39</v>
      </c>
      <c r="I236" s="220">
        <v>42.550000000000004</v>
      </c>
      <c r="J236" s="220">
        <v>45.9</v>
      </c>
      <c r="K236" s="220">
        <v>47.79</v>
      </c>
      <c r="L236" s="229">
        <v>182.17999999999998</v>
      </c>
      <c r="M236" s="220">
        <v>192.42</v>
      </c>
      <c r="N236" s="220">
        <v>137.68</v>
      </c>
      <c r="O236" s="220">
        <v>158.76000000000002</v>
      </c>
      <c r="P236" s="224">
        <v>176.73000000000002</v>
      </c>
      <c r="Q236" s="220">
        <v>42.3</v>
      </c>
      <c r="R236" s="220">
        <v>26.4</v>
      </c>
      <c r="S236" s="220">
        <v>46.5</v>
      </c>
      <c r="T236" s="220">
        <v>47.3</v>
      </c>
      <c r="U236" s="220">
        <v>41.8</v>
      </c>
      <c r="V236" s="229">
        <v>63.75</v>
      </c>
      <c r="W236" s="220">
        <v>74.78</v>
      </c>
      <c r="X236" s="220">
        <v>70</v>
      </c>
      <c r="Y236" s="220">
        <v>49.6</v>
      </c>
      <c r="Z236" s="224">
        <v>60</v>
      </c>
      <c r="AA236" s="363" t="s">
        <v>386</v>
      </c>
      <c r="AB236" s="363" t="s">
        <v>386</v>
      </c>
      <c r="AC236" s="363" t="s">
        <v>386</v>
      </c>
      <c r="AD236" s="363" t="s">
        <v>386</v>
      </c>
      <c r="AE236" s="363" t="s">
        <v>386</v>
      </c>
      <c r="AF236" s="229">
        <v>88.5</v>
      </c>
      <c r="AG236" s="220">
        <v>67.3</v>
      </c>
      <c r="AH236" s="220">
        <v>80.87</v>
      </c>
      <c r="AI236" s="220">
        <v>92.33</v>
      </c>
      <c r="AJ236" s="224">
        <v>92.8</v>
      </c>
      <c r="AK236" s="363" t="s">
        <v>386</v>
      </c>
      <c r="AL236" s="363" t="s">
        <v>386</v>
      </c>
      <c r="AM236" s="363" t="s">
        <v>386</v>
      </c>
      <c r="AN236" s="363" t="s">
        <v>386</v>
      </c>
      <c r="AO236" s="363" t="s">
        <v>386</v>
      </c>
      <c r="AP236" s="362" t="s">
        <v>386</v>
      </c>
      <c r="AQ236" s="363" t="s">
        <v>386</v>
      </c>
      <c r="AR236" s="363" t="s">
        <v>386</v>
      </c>
      <c r="AS236" s="363" t="s">
        <v>386</v>
      </c>
      <c r="AT236" s="364" t="s">
        <v>386</v>
      </c>
      <c r="AU236" s="363" t="s">
        <v>386</v>
      </c>
      <c r="AV236" s="363" t="s">
        <v>386</v>
      </c>
      <c r="AW236" s="363" t="s">
        <v>386</v>
      </c>
      <c r="AX236" s="363" t="s">
        <v>386</v>
      </c>
      <c r="AY236" s="363" t="s">
        <v>386</v>
      </c>
      <c r="AZ236" s="229" t="s">
        <v>386</v>
      </c>
      <c r="BA236" s="220" t="s">
        <v>386</v>
      </c>
      <c r="BB236" s="220" t="s">
        <v>386</v>
      </c>
      <c r="BC236" s="220" t="s">
        <v>386</v>
      </c>
      <c r="BD236" s="224" t="s">
        <v>386</v>
      </c>
      <c r="BE236" s="363" t="s">
        <v>386</v>
      </c>
      <c r="BF236" s="363" t="s">
        <v>386</v>
      </c>
      <c r="BG236" s="363" t="s">
        <v>386</v>
      </c>
      <c r="BH236" s="363" t="s">
        <v>386</v>
      </c>
      <c r="BI236" s="363" t="s">
        <v>386</v>
      </c>
      <c r="BJ236" s="374" t="s">
        <v>386</v>
      </c>
      <c r="BK236" s="375" t="s">
        <v>386</v>
      </c>
      <c r="BL236" s="375" t="s">
        <v>386</v>
      </c>
      <c r="BM236" s="375" t="s">
        <v>386</v>
      </c>
      <c r="BN236" s="376" t="s">
        <v>386</v>
      </c>
      <c r="BO236" s="375" t="s">
        <v>386</v>
      </c>
      <c r="BP236" s="375" t="s">
        <v>386</v>
      </c>
      <c r="BQ236" s="375" t="s">
        <v>386</v>
      </c>
      <c r="BR236" s="375" t="s">
        <v>386</v>
      </c>
      <c r="BS236" s="376" t="s">
        <v>386</v>
      </c>
      <c r="BT236" s="363" t="s">
        <v>386</v>
      </c>
      <c r="BU236" s="363" t="s">
        <v>386</v>
      </c>
      <c r="BV236" s="363" t="s">
        <v>386</v>
      </c>
      <c r="BW236" s="363" t="s">
        <v>386</v>
      </c>
      <c r="BX236" s="364" t="s">
        <v>386</v>
      </c>
      <c r="BY236" s="363" t="s">
        <v>386</v>
      </c>
      <c r="BZ236" s="363" t="s">
        <v>386</v>
      </c>
      <c r="CA236" s="363" t="s">
        <v>386</v>
      </c>
      <c r="CB236" s="363" t="s">
        <v>386</v>
      </c>
      <c r="CC236" s="363" t="s">
        <v>386</v>
      </c>
      <c r="CD236" s="374" t="s">
        <v>386</v>
      </c>
      <c r="CE236" s="375" t="s">
        <v>386</v>
      </c>
      <c r="CF236" s="375" t="s">
        <v>386</v>
      </c>
      <c r="CG236" s="375" t="s">
        <v>386</v>
      </c>
      <c r="CH236" s="376" t="s">
        <v>386</v>
      </c>
    </row>
    <row r="237" spans="1:86" x14ac:dyDescent="0.25">
      <c r="A237" s="223" t="s">
        <v>346</v>
      </c>
      <c r="B237" s="229">
        <v>64.95</v>
      </c>
      <c r="C237" s="220">
        <v>38.1</v>
      </c>
      <c r="D237" s="220">
        <v>67.239999999999995</v>
      </c>
      <c r="E237" s="220">
        <v>41.43</v>
      </c>
      <c r="F237" s="224">
        <v>74.05</v>
      </c>
      <c r="G237" s="220">
        <v>38.1</v>
      </c>
      <c r="H237" s="220">
        <v>26.22</v>
      </c>
      <c r="I237" s="220">
        <v>26.99</v>
      </c>
      <c r="J237" s="220">
        <v>31.12</v>
      </c>
      <c r="K237" s="220">
        <v>29.14</v>
      </c>
      <c r="L237" s="229">
        <v>117.83</v>
      </c>
      <c r="M237" s="220">
        <v>77.349999999999994</v>
      </c>
      <c r="N237" s="220">
        <v>85.070000000000007</v>
      </c>
      <c r="O237" s="220">
        <v>116.21000000000001</v>
      </c>
      <c r="P237" s="224">
        <v>104.11999999999999</v>
      </c>
      <c r="Q237" s="220">
        <v>39.6</v>
      </c>
      <c r="R237" s="220">
        <v>28</v>
      </c>
      <c r="S237" s="220">
        <v>43</v>
      </c>
      <c r="T237" s="220">
        <v>39.4</v>
      </c>
      <c r="U237" s="220">
        <v>34.9</v>
      </c>
      <c r="V237" s="229">
        <v>89.47</v>
      </c>
      <c r="W237" s="220">
        <v>61.6</v>
      </c>
      <c r="X237" s="220">
        <v>84.66</v>
      </c>
      <c r="Y237" s="220">
        <v>61.6</v>
      </c>
      <c r="Z237" s="224">
        <v>111.24</v>
      </c>
      <c r="AA237" s="363">
        <v>16.5</v>
      </c>
      <c r="AB237" s="363">
        <v>10.4</v>
      </c>
      <c r="AC237" s="363">
        <v>15.1</v>
      </c>
      <c r="AD237" s="363">
        <v>15.7</v>
      </c>
      <c r="AE237" s="363">
        <v>17.2</v>
      </c>
      <c r="AF237" s="229">
        <v>98.75</v>
      </c>
      <c r="AG237" s="220">
        <v>73.289999999999992</v>
      </c>
      <c r="AH237" s="220">
        <v>90.67</v>
      </c>
      <c r="AI237" s="220">
        <v>93.660000000000011</v>
      </c>
      <c r="AJ237" s="224">
        <v>91.279999999999987</v>
      </c>
      <c r="AK237" s="363">
        <v>1721</v>
      </c>
      <c r="AL237" s="363">
        <v>1455</v>
      </c>
      <c r="AM237" s="363">
        <v>2148.4499999999998</v>
      </c>
      <c r="AN237" s="363">
        <v>2213.44</v>
      </c>
      <c r="AO237" s="363">
        <v>1969.88</v>
      </c>
      <c r="AP237" s="229">
        <v>2308.5600000000004</v>
      </c>
      <c r="AQ237" s="220">
        <v>1942.48</v>
      </c>
      <c r="AR237" s="220">
        <v>1881.53</v>
      </c>
      <c r="AS237" s="220">
        <v>1654.8500000000001</v>
      </c>
      <c r="AT237" s="224">
        <v>1439.26</v>
      </c>
      <c r="AU237" s="220">
        <v>2279</v>
      </c>
      <c r="AV237" s="220">
        <v>1600</v>
      </c>
      <c r="AW237" s="220">
        <v>1898</v>
      </c>
      <c r="AX237" s="220">
        <v>2595</v>
      </c>
      <c r="AY237" s="220">
        <v>2435</v>
      </c>
      <c r="AZ237" s="229" t="s">
        <v>386</v>
      </c>
      <c r="BA237" s="220" t="s">
        <v>386</v>
      </c>
      <c r="BB237" s="220" t="s">
        <v>386</v>
      </c>
      <c r="BC237" s="220" t="s">
        <v>386</v>
      </c>
      <c r="BD237" s="224" t="s">
        <v>386</v>
      </c>
      <c r="BE237" s="363" t="s">
        <v>386</v>
      </c>
      <c r="BF237" s="363" t="s">
        <v>386</v>
      </c>
      <c r="BG237" s="363" t="s">
        <v>386</v>
      </c>
      <c r="BH237" s="363" t="s">
        <v>386</v>
      </c>
      <c r="BI237" s="363" t="s">
        <v>386</v>
      </c>
      <c r="BJ237" s="374" t="s">
        <v>386</v>
      </c>
      <c r="BK237" s="375" t="s">
        <v>386</v>
      </c>
      <c r="BL237" s="375" t="s">
        <v>386</v>
      </c>
      <c r="BM237" s="375" t="s">
        <v>386</v>
      </c>
      <c r="BN237" s="376" t="s">
        <v>386</v>
      </c>
      <c r="BO237" s="375" t="s">
        <v>386</v>
      </c>
      <c r="BP237" s="375" t="s">
        <v>386</v>
      </c>
      <c r="BQ237" s="375" t="s">
        <v>386</v>
      </c>
      <c r="BR237" s="375" t="s">
        <v>386</v>
      </c>
      <c r="BS237" s="376" t="s">
        <v>386</v>
      </c>
      <c r="BT237" s="220" t="s">
        <v>386</v>
      </c>
      <c r="BU237" s="220" t="s">
        <v>386</v>
      </c>
      <c r="BV237" s="220" t="s">
        <v>386</v>
      </c>
      <c r="BW237" s="220" t="s">
        <v>386</v>
      </c>
      <c r="BX237" s="224" t="s">
        <v>386</v>
      </c>
      <c r="BY237" s="220">
        <v>2279</v>
      </c>
      <c r="BZ237" s="220">
        <v>1088</v>
      </c>
      <c r="CA237" s="220">
        <v>1898</v>
      </c>
      <c r="CB237" s="220">
        <v>2595</v>
      </c>
      <c r="CC237" s="220">
        <v>2435</v>
      </c>
      <c r="CD237" s="383">
        <v>2279</v>
      </c>
      <c r="CE237" s="384">
        <v>1360</v>
      </c>
      <c r="CF237" s="384">
        <v>1898</v>
      </c>
      <c r="CG237" s="384">
        <v>2595</v>
      </c>
      <c r="CH237" s="385">
        <v>2435</v>
      </c>
    </row>
    <row r="238" spans="1:86" x14ac:dyDescent="0.25">
      <c r="A238" s="223" t="s">
        <v>347</v>
      </c>
      <c r="B238" s="229">
        <v>57.41</v>
      </c>
      <c r="C238" s="220">
        <v>50.55</v>
      </c>
      <c r="D238" s="220">
        <v>52.849999999999994</v>
      </c>
      <c r="E238" s="220">
        <v>58.260000000000005</v>
      </c>
      <c r="F238" s="224">
        <v>56.27</v>
      </c>
      <c r="G238" s="220">
        <v>46.709999999999994</v>
      </c>
      <c r="H238" s="220">
        <v>46.27</v>
      </c>
      <c r="I238" s="220">
        <v>47.02</v>
      </c>
      <c r="J238" s="220">
        <v>49.91</v>
      </c>
      <c r="K238" s="220">
        <v>43.1</v>
      </c>
      <c r="L238" s="229">
        <v>195.08</v>
      </c>
      <c r="M238" s="220">
        <v>174.04</v>
      </c>
      <c r="N238" s="220">
        <v>178.32</v>
      </c>
      <c r="O238" s="220">
        <v>189.82</v>
      </c>
      <c r="P238" s="224">
        <v>190.66</v>
      </c>
      <c r="Q238" s="220">
        <v>72.5</v>
      </c>
      <c r="R238" s="220">
        <v>59.9</v>
      </c>
      <c r="S238" s="220">
        <v>77.2</v>
      </c>
      <c r="T238" s="220">
        <v>83.6</v>
      </c>
      <c r="U238" s="220">
        <v>72.599999999999994</v>
      </c>
      <c r="V238" s="229">
        <v>84.07</v>
      </c>
      <c r="W238" s="220">
        <v>72.8</v>
      </c>
      <c r="X238" s="220">
        <v>78.16</v>
      </c>
      <c r="Y238" s="220">
        <v>76.81</v>
      </c>
      <c r="Z238" s="224">
        <v>101.94</v>
      </c>
      <c r="AA238" s="363" t="s">
        <v>386</v>
      </c>
      <c r="AB238" s="363" t="s">
        <v>386</v>
      </c>
      <c r="AC238" s="363" t="s">
        <v>386</v>
      </c>
      <c r="AD238" s="363" t="s">
        <v>386</v>
      </c>
      <c r="AE238" s="363" t="s">
        <v>386</v>
      </c>
      <c r="AF238" s="229">
        <v>90</v>
      </c>
      <c r="AG238" s="220">
        <v>48.2</v>
      </c>
      <c r="AH238" s="220">
        <v>76.150000000000006</v>
      </c>
      <c r="AI238" s="220">
        <v>92.35</v>
      </c>
      <c r="AJ238" s="224">
        <v>101.05</v>
      </c>
      <c r="AK238" s="363">
        <v>1721</v>
      </c>
      <c r="AL238" s="363">
        <v>1455</v>
      </c>
      <c r="AM238" s="363">
        <v>2148.4499999999998</v>
      </c>
      <c r="AN238" s="363">
        <v>2213.44</v>
      </c>
      <c r="AO238" s="363">
        <v>1969.88</v>
      </c>
      <c r="AP238" s="229">
        <v>2133</v>
      </c>
      <c r="AQ238" s="220">
        <v>1916</v>
      </c>
      <c r="AR238" s="220">
        <v>2538</v>
      </c>
      <c r="AS238" s="220">
        <v>2422</v>
      </c>
      <c r="AT238" s="224">
        <v>1837</v>
      </c>
      <c r="AU238" s="363" t="s">
        <v>386</v>
      </c>
      <c r="AV238" s="363" t="s">
        <v>386</v>
      </c>
      <c r="AW238" s="363" t="s">
        <v>386</v>
      </c>
      <c r="AX238" s="363" t="s">
        <v>386</v>
      </c>
      <c r="AY238" s="363" t="s">
        <v>386</v>
      </c>
      <c r="AZ238" s="229" t="s">
        <v>386</v>
      </c>
      <c r="BA238" s="220" t="s">
        <v>386</v>
      </c>
      <c r="BB238" s="220" t="s">
        <v>386</v>
      </c>
      <c r="BC238" s="220" t="s">
        <v>386</v>
      </c>
      <c r="BD238" s="224" t="s">
        <v>386</v>
      </c>
      <c r="BE238" s="363" t="s">
        <v>386</v>
      </c>
      <c r="BF238" s="363" t="s">
        <v>386</v>
      </c>
      <c r="BG238" s="363" t="s">
        <v>386</v>
      </c>
      <c r="BH238" s="363" t="s">
        <v>386</v>
      </c>
      <c r="BI238" s="363" t="s">
        <v>386</v>
      </c>
      <c r="BJ238" s="374" t="s">
        <v>386</v>
      </c>
      <c r="BK238" s="375" t="s">
        <v>386</v>
      </c>
      <c r="BL238" s="375" t="s">
        <v>386</v>
      </c>
      <c r="BM238" s="375" t="s">
        <v>386</v>
      </c>
      <c r="BN238" s="376" t="s">
        <v>386</v>
      </c>
      <c r="BO238" s="375" t="s">
        <v>386</v>
      </c>
      <c r="BP238" s="375" t="s">
        <v>386</v>
      </c>
      <c r="BQ238" s="375" t="s">
        <v>386</v>
      </c>
      <c r="BR238" s="375" t="s">
        <v>386</v>
      </c>
      <c r="BS238" s="376" t="s">
        <v>386</v>
      </c>
      <c r="BT238" s="363" t="s">
        <v>386</v>
      </c>
      <c r="BU238" s="363" t="s">
        <v>386</v>
      </c>
      <c r="BV238" s="363" t="s">
        <v>386</v>
      </c>
      <c r="BW238" s="363" t="s">
        <v>386</v>
      </c>
      <c r="BX238" s="364" t="s">
        <v>386</v>
      </c>
      <c r="BY238" s="363" t="s">
        <v>386</v>
      </c>
      <c r="BZ238" s="363" t="s">
        <v>386</v>
      </c>
      <c r="CA238" s="363" t="s">
        <v>386</v>
      </c>
      <c r="CB238" s="363" t="s">
        <v>386</v>
      </c>
      <c r="CC238" s="363" t="s">
        <v>386</v>
      </c>
      <c r="CD238" s="383" t="s">
        <v>386</v>
      </c>
      <c r="CE238" s="384" t="s">
        <v>386</v>
      </c>
      <c r="CF238" s="384" t="s">
        <v>386</v>
      </c>
      <c r="CG238" s="384" t="s">
        <v>386</v>
      </c>
      <c r="CH238" s="385" t="s">
        <v>386</v>
      </c>
    </row>
    <row r="239" spans="1:86" x14ac:dyDescent="0.25">
      <c r="A239" s="223" t="s">
        <v>348</v>
      </c>
      <c r="B239" s="229">
        <v>72.89</v>
      </c>
      <c r="C239" s="220">
        <v>44.17</v>
      </c>
      <c r="D239" s="220">
        <v>62.4</v>
      </c>
      <c r="E239" s="220">
        <v>44</v>
      </c>
      <c r="F239" s="224">
        <v>80.099999999999994</v>
      </c>
      <c r="G239" s="220">
        <v>49.72</v>
      </c>
      <c r="H239" s="220">
        <v>41.410000000000004</v>
      </c>
      <c r="I239" s="220">
        <v>39.760000000000005</v>
      </c>
      <c r="J239" s="220">
        <v>47.87</v>
      </c>
      <c r="K239" s="220">
        <v>45.16</v>
      </c>
      <c r="L239" s="229">
        <v>191.65</v>
      </c>
      <c r="M239" s="220">
        <v>144.88999999999999</v>
      </c>
      <c r="N239" s="220">
        <v>136.88</v>
      </c>
      <c r="O239" s="220">
        <v>160.23999999999998</v>
      </c>
      <c r="P239" s="224">
        <v>184.44</v>
      </c>
      <c r="Q239" s="220">
        <v>42.3</v>
      </c>
      <c r="R239" s="220">
        <v>40</v>
      </c>
      <c r="S239" s="220">
        <v>46.5</v>
      </c>
      <c r="T239" s="220">
        <v>47.3</v>
      </c>
      <c r="U239" s="220">
        <v>41.8</v>
      </c>
      <c r="V239" s="229">
        <v>86.02</v>
      </c>
      <c r="W239" s="220">
        <v>71.2</v>
      </c>
      <c r="X239" s="220">
        <v>71.2</v>
      </c>
      <c r="Y239" s="220">
        <v>71.2</v>
      </c>
      <c r="Z239" s="224">
        <v>80.7</v>
      </c>
      <c r="AA239" s="363">
        <v>17</v>
      </c>
      <c r="AB239" s="363">
        <v>11.2</v>
      </c>
      <c r="AC239" s="363">
        <v>12.5</v>
      </c>
      <c r="AD239" s="363">
        <v>15.3</v>
      </c>
      <c r="AE239" s="363">
        <v>14.2</v>
      </c>
      <c r="AF239" s="229">
        <v>92.8</v>
      </c>
      <c r="AG239" s="220">
        <v>72.7</v>
      </c>
      <c r="AH239" s="220">
        <v>86.7</v>
      </c>
      <c r="AI239" s="220">
        <v>95.6</v>
      </c>
      <c r="AJ239" s="224">
        <v>125.41</v>
      </c>
      <c r="AK239" s="220">
        <v>1721</v>
      </c>
      <c r="AL239" s="220">
        <v>1455</v>
      </c>
      <c r="AM239" s="220">
        <v>2148.4499999999998</v>
      </c>
      <c r="AN239" s="220">
        <v>2213.44</v>
      </c>
      <c r="AO239" s="220">
        <v>1969.88</v>
      </c>
      <c r="AP239" s="362" t="s">
        <v>386</v>
      </c>
      <c r="AQ239" s="363" t="s">
        <v>386</v>
      </c>
      <c r="AR239" s="363" t="s">
        <v>386</v>
      </c>
      <c r="AS239" s="363" t="s">
        <v>386</v>
      </c>
      <c r="AT239" s="364" t="s">
        <v>386</v>
      </c>
      <c r="AU239" s="363" t="s">
        <v>386</v>
      </c>
      <c r="AV239" s="363" t="s">
        <v>386</v>
      </c>
      <c r="AW239" s="363" t="s">
        <v>386</v>
      </c>
      <c r="AX239" s="363" t="s">
        <v>386</v>
      </c>
      <c r="AY239" s="363" t="s">
        <v>386</v>
      </c>
      <c r="AZ239" s="229" t="s">
        <v>386</v>
      </c>
      <c r="BA239" s="220" t="s">
        <v>386</v>
      </c>
      <c r="BB239" s="220" t="s">
        <v>386</v>
      </c>
      <c r="BC239" s="220" t="s">
        <v>386</v>
      </c>
      <c r="BD239" s="224" t="s">
        <v>386</v>
      </c>
      <c r="BE239" s="363" t="s">
        <v>386</v>
      </c>
      <c r="BF239" s="363" t="s">
        <v>386</v>
      </c>
      <c r="BG239" s="363" t="s">
        <v>386</v>
      </c>
      <c r="BH239" s="363" t="s">
        <v>386</v>
      </c>
      <c r="BI239" s="363" t="s">
        <v>386</v>
      </c>
      <c r="BJ239" s="374" t="s">
        <v>386</v>
      </c>
      <c r="BK239" s="375" t="s">
        <v>386</v>
      </c>
      <c r="BL239" s="375" t="s">
        <v>386</v>
      </c>
      <c r="BM239" s="375" t="s">
        <v>386</v>
      </c>
      <c r="BN239" s="376" t="s">
        <v>386</v>
      </c>
      <c r="BO239" s="375" t="s">
        <v>386</v>
      </c>
      <c r="BP239" s="375" t="s">
        <v>386</v>
      </c>
      <c r="BQ239" s="375" t="s">
        <v>386</v>
      </c>
      <c r="BR239" s="375" t="s">
        <v>386</v>
      </c>
      <c r="BS239" s="376" t="s">
        <v>386</v>
      </c>
      <c r="BT239" s="363" t="s">
        <v>386</v>
      </c>
      <c r="BU239" s="363" t="s">
        <v>386</v>
      </c>
      <c r="BV239" s="363" t="s">
        <v>386</v>
      </c>
      <c r="BW239" s="363" t="s">
        <v>386</v>
      </c>
      <c r="BX239" s="364" t="s">
        <v>386</v>
      </c>
      <c r="BY239" s="363" t="s">
        <v>386</v>
      </c>
      <c r="BZ239" s="363" t="s">
        <v>386</v>
      </c>
      <c r="CA239" s="363" t="s">
        <v>386</v>
      </c>
      <c r="CB239" s="363" t="s">
        <v>386</v>
      </c>
      <c r="CC239" s="363" t="s">
        <v>386</v>
      </c>
      <c r="CD239" s="383" t="s">
        <v>386</v>
      </c>
      <c r="CE239" s="384" t="s">
        <v>386</v>
      </c>
      <c r="CF239" s="384" t="s">
        <v>386</v>
      </c>
      <c r="CG239" s="384" t="s">
        <v>386</v>
      </c>
      <c r="CH239" s="385" t="s">
        <v>386</v>
      </c>
    </row>
    <row r="240" spans="1:86" x14ac:dyDescent="0.25">
      <c r="A240" s="223" t="s">
        <v>349</v>
      </c>
      <c r="B240" s="229">
        <v>55.64</v>
      </c>
      <c r="C240" s="220">
        <v>38.799999999999997</v>
      </c>
      <c r="D240" s="220">
        <v>49.14</v>
      </c>
      <c r="E240" s="220">
        <v>55.44</v>
      </c>
      <c r="F240" s="224">
        <v>61</v>
      </c>
      <c r="G240" s="220">
        <v>33.99</v>
      </c>
      <c r="H240" s="220">
        <v>29.099999999999998</v>
      </c>
      <c r="I240" s="220">
        <v>36.120000000000005</v>
      </c>
      <c r="J240" s="220">
        <v>46.019999999999996</v>
      </c>
      <c r="K240" s="220">
        <v>38.03</v>
      </c>
      <c r="L240" s="229">
        <v>132.31</v>
      </c>
      <c r="M240" s="220">
        <v>100.7</v>
      </c>
      <c r="N240" s="220">
        <v>140.91</v>
      </c>
      <c r="O240" s="220">
        <v>175</v>
      </c>
      <c r="P240" s="224">
        <v>156.9</v>
      </c>
      <c r="Q240" s="220">
        <v>42.4</v>
      </c>
      <c r="R240" s="220">
        <v>43.2</v>
      </c>
      <c r="S240" s="220">
        <v>72.2</v>
      </c>
      <c r="T240" s="220">
        <v>69</v>
      </c>
      <c r="U240" s="220">
        <v>75</v>
      </c>
      <c r="V240" s="229">
        <v>84.42</v>
      </c>
      <c r="W240" s="220">
        <v>61.6</v>
      </c>
      <c r="X240" s="220">
        <v>85.87</v>
      </c>
      <c r="Y240" s="220">
        <v>75.09</v>
      </c>
      <c r="Z240" s="224">
        <v>103.84</v>
      </c>
      <c r="AA240" s="220">
        <v>16.3</v>
      </c>
      <c r="AB240" s="220">
        <v>8</v>
      </c>
      <c r="AC240" s="220">
        <v>11.9</v>
      </c>
      <c r="AD240" s="220">
        <v>14.4</v>
      </c>
      <c r="AE240" s="220">
        <v>16.899999999999999</v>
      </c>
      <c r="AF240" s="229">
        <v>59.7</v>
      </c>
      <c r="AG240" s="220">
        <v>39.799999999999997</v>
      </c>
      <c r="AH240" s="220">
        <v>37.200000000000003</v>
      </c>
      <c r="AI240" s="220">
        <v>53.5</v>
      </c>
      <c r="AJ240" s="224">
        <v>80.7</v>
      </c>
      <c r="AK240" s="220">
        <v>1721</v>
      </c>
      <c r="AL240" s="220">
        <v>1455</v>
      </c>
      <c r="AM240" s="220">
        <v>2148.4499999999998</v>
      </c>
      <c r="AN240" s="220">
        <v>2213.44</v>
      </c>
      <c r="AO240" s="220">
        <v>1969.88</v>
      </c>
      <c r="AP240" s="229">
        <v>2057.35</v>
      </c>
      <c r="AQ240" s="220">
        <v>2261.9</v>
      </c>
      <c r="AR240" s="220">
        <v>2492.37</v>
      </c>
      <c r="AS240" s="220">
        <v>1955.02</v>
      </c>
      <c r="AT240" s="224">
        <v>2233.56</v>
      </c>
      <c r="AU240" s="220">
        <v>2003</v>
      </c>
      <c r="AV240" s="220">
        <v>1320</v>
      </c>
      <c r="AW240" s="220">
        <v>1645</v>
      </c>
      <c r="AX240" s="220">
        <v>2419</v>
      </c>
      <c r="AY240" s="220">
        <v>1685</v>
      </c>
      <c r="AZ240" s="229" t="s">
        <v>386</v>
      </c>
      <c r="BA240" s="220" t="s">
        <v>386</v>
      </c>
      <c r="BB240" s="220" t="s">
        <v>386</v>
      </c>
      <c r="BC240" s="220" t="s">
        <v>386</v>
      </c>
      <c r="BD240" s="224" t="s">
        <v>386</v>
      </c>
      <c r="BE240" s="363" t="s">
        <v>386</v>
      </c>
      <c r="BF240" s="363" t="s">
        <v>386</v>
      </c>
      <c r="BG240" s="363" t="s">
        <v>386</v>
      </c>
      <c r="BH240" s="363" t="s">
        <v>386</v>
      </c>
      <c r="BI240" s="363" t="s">
        <v>386</v>
      </c>
      <c r="BJ240" s="374" t="s">
        <v>386</v>
      </c>
      <c r="BK240" s="375" t="s">
        <v>386</v>
      </c>
      <c r="BL240" s="375" t="s">
        <v>386</v>
      </c>
      <c r="BM240" s="375" t="s">
        <v>386</v>
      </c>
      <c r="BN240" s="376" t="s">
        <v>386</v>
      </c>
      <c r="BO240" s="375" t="s">
        <v>386</v>
      </c>
      <c r="BP240" s="375" t="s">
        <v>386</v>
      </c>
      <c r="BQ240" s="375" t="s">
        <v>386</v>
      </c>
      <c r="BR240" s="375" t="s">
        <v>386</v>
      </c>
      <c r="BS240" s="376" t="s">
        <v>386</v>
      </c>
      <c r="BT240" s="363" t="s">
        <v>386</v>
      </c>
      <c r="BU240" s="363" t="s">
        <v>386</v>
      </c>
      <c r="BV240" s="363" t="s">
        <v>386</v>
      </c>
      <c r="BW240" s="363" t="s">
        <v>386</v>
      </c>
      <c r="BX240" s="364" t="s">
        <v>386</v>
      </c>
      <c r="BY240" s="363" t="s">
        <v>386</v>
      </c>
      <c r="BZ240" s="363" t="s">
        <v>386</v>
      </c>
      <c r="CA240" s="363" t="s">
        <v>386</v>
      </c>
      <c r="CB240" s="363" t="s">
        <v>386</v>
      </c>
      <c r="CC240" s="363" t="s">
        <v>386</v>
      </c>
      <c r="CD240" s="383" t="s">
        <v>386</v>
      </c>
      <c r="CE240" s="384" t="s">
        <v>386</v>
      </c>
      <c r="CF240" s="384" t="s">
        <v>386</v>
      </c>
      <c r="CG240" s="384" t="s">
        <v>386</v>
      </c>
      <c r="CH240" s="385" t="s">
        <v>386</v>
      </c>
    </row>
    <row r="241" spans="1:86" x14ac:dyDescent="0.25">
      <c r="A241" s="223" t="s">
        <v>350</v>
      </c>
      <c r="B241" s="229">
        <v>35.82</v>
      </c>
      <c r="C241" s="220">
        <v>29.32</v>
      </c>
      <c r="D241" s="220">
        <v>24.4</v>
      </c>
      <c r="E241" s="220">
        <v>48.04</v>
      </c>
      <c r="F241" s="224">
        <v>38.200000000000003</v>
      </c>
      <c r="G241" s="220">
        <v>23.32</v>
      </c>
      <c r="H241" s="220">
        <v>17.600000000000001</v>
      </c>
      <c r="I241" s="220">
        <v>17.600000000000001</v>
      </c>
      <c r="J241" s="220">
        <v>23.54</v>
      </c>
      <c r="K241" s="220">
        <v>17.600000000000001</v>
      </c>
      <c r="L241" s="229">
        <v>63.69</v>
      </c>
      <c r="M241" s="220">
        <v>43.099999999999994</v>
      </c>
      <c r="N241" s="220">
        <v>41.040000000000006</v>
      </c>
      <c r="O241" s="220">
        <v>72.819999999999993</v>
      </c>
      <c r="P241" s="224">
        <v>50.74</v>
      </c>
      <c r="Q241" s="220">
        <v>37.9</v>
      </c>
      <c r="R241" s="220">
        <v>21.6</v>
      </c>
      <c r="S241" s="220">
        <v>38.299999999999997</v>
      </c>
      <c r="T241" s="220">
        <v>42.2</v>
      </c>
      <c r="U241" s="220">
        <v>40.9</v>
      </c>
      <c r="V241" s="229">
        <v>41.05</v>
      </c>
      <c r="W241" s="220">
        <v>20.8</v>
      </c>
      <c r="X241" s="220">
        <v>22.78</v>
      </c>
      <c r="Y241" s="220">
        <v>55</v>
      </c>
      <c r="Z241" s="224">
        <v>58.3</v>
      </c>
      <c r="AA241" s="363" t="s">
        <v>386</v>
      </c>
      <c r="AB241" s="363" t="s">
        <v>386</v>
      </c>
      <c r="AC241" s="363" t="s">
        <v>386</v>
      </c>
      <c r="AD241" s="363" t="s">
        <v>386</v>
      </c>
      <c r="AE241" s="363" t="s">
        <v>386</v>
      </c>
      <c r="AF241" s="229">
        <v>28.09</v>
      </c>
      <c r="AG241" s="220">
        <v>19.73</v>
      </c>
      <c r="AH241" s="220">
        <v>23.400000000000002</v>
      </c>
      <c r="AI241" s="220">
        <v>40.72</v>
      </c>
      <c r="AJ241" s="224">
        <v>35.299999999999997</v>
      </c>
      <c r="AK241" s="220">
        <v>1721</v>
      </c>
      <c r="AL241" s="220">
        <v>1455</v>
      </c>
      <c r="AM241" s="220">
        <v>2148.4499999999998</v>
      </c>
      <c r="AN241" s="220">
        <v>2213.44</v>
      </c>
      <c r="AO241" s="220">
        <v>1479.83</v>
      </c>
      <c r="AP241" s="229">
        <v>982.37</v>
      </c>
      <c r="AQ241" s="220">
        <v>1488.35</v>
      </c>
      <c r="AR241" s="220">
        <v>958.27</v>
      </c>
      <c r="AS241" s="220">
        <v>1452.38</v>
      </c>
      <c r="AT241" s="224">
        <v>1251.3</v>
      </c>
      <c r="AU241" s="220">
        <v>1839</v>
      </c>
      <c r="AV241" s="220">
        <v>800</v>
      </c>
      <c r="AW241" s="220">
        <v>1717</v>
      </c>
      <c r="AX241" s="220">
        <v>2294</v>
      </c>
      <c r="AY241" s="220">
        <v>1570</v>
      </c>
      <c r="AZ241" s="229" t="s">
        <v>386</v>
      </c>
      <c r="BA241" s="220" t="s">
        <v>386</v>
      </c>
      <c r="BB241" s="220" t="s">
        <v>386</v>
      </c>
      <c r="BC241" s="220" t="s">
        <v>386</v>
      </c>
      <c r="BD241" s="224" t="s">
        <v>386</v>
      </c>
      <c r="BE241" s="220">
        <v>948</v>
      </c>
      <c r="BF241" s="220">
        <v>859</v>
      </c>
      <c r="BG241" s="220">
        <v>794.07</v>
      </c>
      <c r="BH241" s="220">
        <v>1157.3499999999999</v>
      </c>
      <c r="BI241" s="220">
        <v>1033</v>
      </c>
      <c r="BJ241" s="374" t="s">
        <v>386</v>
      </c>
      <c r="BK241" s="375" t="s">
        <v>386</v>
      </c>
      <c r="BL241" s="375" t="s">
        <v>386</v>
      </c>
      <c r="BM241" s="375" t="s">
        <v>386</v>
      </c>
      <c r="BN241" s="376" t="s">
        <v>386</v>
      </c>
      <c r="BO241" s="375" t="s">
        <v>386</v>
      </c>
      <c r="BP241" s="375" t="s">
        <v>386</v>
      </c>
      <c r="BQ241" s="375" t="s">
        <v>386</v>
      </c>
      <c r="BR241" s="375" t="s">
        <v>386</v>
      </c>
      <c r="BS241" s="376" t="s">
        <v>386</v>
      </c>
      <c r="BT241" s="363" t="s">
        <v>386</v>
      </c>
      <c r="BU241" s="363" t="s">
        <v>386</v>
      </c>
      <c r="BV241" s="363" t="s">
        <v>386</v>
      </c>
      <c r="BW241" s="363" t="s">
        <v>386</v>
      </c>
      <c r="BX241" s="364" t="s">
        <v>386</v>
      </c>
      <c r="BY241" s="363" t="s">
        <v>386</v>
      </c>
      <c r="BZ241" s="363" t="s">
        <v>386</v>
      </c>
      <c r="CA241" s="363" t="s">
        <v>386</v>
      </c>
      <c r="CB241" s="363" t="s">
        <v>386</v>
      </c>
      <c r="CC241" s="363" t="s">
        <v>386</v>
      </c>
      <c r="CD241" s="229" t="s">
        <v>386</v>
      </c>
      <c r="CE241" s="220" t="s">
        <v>386</v>
      </c>
      <c r="CF241" s="220" t="s">
        <v>386</v>
      </c>
      <c r="CG241" s="220" t="s">
        <v>386</v>
      </c>
      <c r="CH241" s="224" t="s">
        <v>386</v>
      </c>
    </row>
    <row r="242" spans="1:86" x14ac:dyDescent="0.25">
      <c r="A242" s="223" t="s">
        <v>351</v>
      </c>
      <c r="B242" s="229">
        <v>50.88</v>
      </c>
      <c r="C242" s="220">
        <v>25.3</v>
      </c>
      <c r="D242" s="220">
        <v>26.52</v>
      </c>
      <c r="E242" s="220">
        <v>35.08</v>
      </c>
      <c r="F242" s="224">
        <v>44.620000000000005</v>
      </c>
      <c r="G242" s="220">
        <v>29.02</v>
      </c>
      <c r="H242" s="220">
        <v>22.4</v>
      </c>
      <c r="I242" s="220">
        <v>22.51</v>
      </c>
      <c r="J242" s="220">
        <v>24.86</v>
      </c>
      <c r="K242" s="220">
        <v>20.8</v>
      </c>
      <c r="L242" s="229">
        <v>91.87</v>
      </c>
      <c r="M242" s="220">
        <v>60.25</v>
      </c>
      <c r="N242" s="220">
        <v>61.64</v>
      </c>
      <c r="O242" s="220">
        <v>65.25</v>
      </c>
      <c r="P242" s="224">
        <v>60.42</v>
      </c>
      <c r="Q242" s="220">
        <v>35.6</v>
      </c>
      <c r="R242" s="220">
        <v>24</v>
      </c>
      <c r="S242" s="220">
        <v>34.6</v>
      </c>
      <c r="T242" s="220">
        <v>40.4</v>
      </c>
      <c r="U242" s="220">
        <v>29.4</v>
      </c>
      <c r="V242" s="229">
        <v>52.14</v>
      </c>
      <c r="W242" s="220">
        <v>39.200000000000003</v>
      </c>
      <c r="X242" s="220">
        <v>39.200000000000003</v>
      </c>
      <c r="Y242" s="220">
        <v>79.8</v>
      </c>
      <c r="Z242" s="224">
        <v>75.81</v>
      </c>
      <c r="AA242" s="220">
        <v>17</v>
      </c>
      <c r="AB242" s="220">
        <v>10.4</v>
      </c>
      <c r="AC242" s="220">
        <v>15.3</v>
      </c>
      <c r="AD242" s="220">
        <v>15.7</v>
      </c>
      <c r="AE242" s="220">
        <v>17.100000000000001</v>
      </c>
      <c r="AF242" s="229">
        <v>73.239999999999995</v>
      </c>
      <c r="AG242" s="220">
        <v>52.449999999999996</v>
      </c>
      <c r="AH242" s="220">
        <v>59.28</v>
      </c>
      <c r="AI242" s="220">
        <v>91.11</v>
      </c>
      <c r="AJ242" s="224">
        <v>59.06</v>
      </c>
      <c r="AK242" s="363" t="s">
        <v>386</v>
      </c>
      <c r="AL242" s="363" t="s">
        <v>386</v>
      </c>
      <c r="AM242" s="363" t="s">
        <v>386</v>
      </c>
      <c r="AN242" s="363" t="s">
        <v>386</v>
      </c>
      <c r="AO242" s="363" t="s">
        <v>386</v>
      </c>
      <c r="AP242" s="229">
        <v>1706.78</v>
      </c>
      <c r="AQ242" s="220">
        <v>949.09999999999991</v>
      </c>
      <c r="AR242" s="220">
        <v>1632.66</v>
      </c>
      <c r="AS242" s="220">
        <v>1458.09</v>
      </c>
      <c r="AT242" s="224">
        <v>1128.9199999999998</v>
      </c>
      <c r="AU242" s="363" t="s">
        <v>386</v>
      </c>
      <c r="AV242" s="363" t="s">
        <v>386</v>
      </c>
      <c r="AW242" s="363" t="s">
        <v>386</v>
      </c>
      <c r="AX242" s="363" t="s">
        <v>386</v>
      </c>
      <c r="AY242" s="363" t="s">
        <v>386</v>
      </c>
      <c r="AZ242" s="374" t="s">
        <v>386</v>
      </c>
      <c r="BA242" s="384" t="s">
        <v>386</v>
      </c>
      <c r="BB242" s="375" t="s">
        <v>386</v>
      </c>
      <c r="BC242" s="375" t="s">
        <v>386</v>
      </c>
      <c r="BD242" s="376" t="s">
        <v>386</v>
      </c>
      <c r="BE242" s="363" t="s">
        <v>386</v>
      </c>
      <c r="BF242" s="363" t="s">
        <v>386</v>
      </c>
      <c r="BG242" s="363" t="s">
        <v>386</v>
      </c>
      <c r="BH242" s="363" t="s">
        <v>386</v>
      </c>
      <c r="BI242" s="363" t="s">
        <v>386</v>
      </c>
      <c r="BJ242" s="374" t="s">
        <v>386</v>
      </c>
      <c r="BK242" s="375" t="s">
        <v>386</v>
      </c>
      <c r="BL242" s="375" t="s">
        <v>386</v>
      </c>
      <c r="BM242" s="375" t="s">
        <v>386</v>
      </c>
      <c r="BN242" s="376" t="s">
        <v>386</v>
      </c>
      <c r="BO242" s="375" t="s">
        <v>386</v>
      </c>
      <c r="BP242" s="375" t="s">
        <v>386</v>
      </c>
      <c r="BQ242" s="375" t="s">
        <v>386</v>
      </c>
      <c r="BR242" s="375" t="s">
        <v>386</v>
      </c>
      <c r="BS242" s="376" t="s">
        <v>386</v>
      </c>
      <c r="BT242" s="363" t="s">
        <v>386</v>
      </c>
      <c r="BU242" s="363" t="s">
        <v>386</v>
      </c>
      <c r="BV242" s="363" t="s">
        <v>386</v>
      </c>
      <c r="BW242" s="363" t="s">
        <v>386</v>
      </c>
      <c r="BX242" s="364" t="s">
        <v>386</v>
      </c>
      <c r="BY242" s="363" t="s">
        <v>386</v>
      </c>
      <c r="BZ242" s="363" t="s">
        <v>386</v>
      </c>
      <c r="CA242" s="363" t="s">
        <v>386</v>
      </c>
      <c r="CB242" s="363" t="s">
        <v>386</v>
      </c>
      <c r="CC242" s="363" t="s">
        <v>386</v>
      </c>
      <c r="CD242" s="362" t="s">
        <v>386</v>
      </c>
      <c r="CE242" s="363" t="s">
        <v>386</v>
      </c>
      <c r="CF242" s="363" t="s">
        <v>386</v>
      </c>
      <c r="CG242" s="363" t="s">
        <v>386</v>
      </c>
      <c r="CH242" s="364" t="s">
        <v>386</v>
      </c>
    </row>
    <row r="243" spans="1:86" x14ac:dyDescent="0.25">
      <c r="A243" s="223" t="s">
        <v>352</v>
      </c>
      <c r="B243" s="229">
        <v>73.13000000000001</v>
      </c>
      <c r="C243" s="220">
        <v>63.37</v>
      </c>
      <c r="D243" s="220">
        <v>67.97</v>
      </c>
      <c r="E243" s="220">
        <v>47.7</v>
      </c>
      <c r="F243" s="224">
        <v>87.17</v>
      </c>
      <c r="G243" s="220">
        <v>47.800000000000004</v>
      </c>
      <c r="H243" s="220">
        <v>37.450000000000003</v>
      </c>
      <c r="I243" s="220">
        <v>38.369999999999997</v>
      </c>
      <c r="J243" s="220">
        <v>38.690000000000005</v>
      </c>
      <c r="K243" s="220">
        <v>42.6</v>
      </c>
      <c r="L243" s="229">
        <v>182.07</v>
      </c>
      <c r="M243" s="220">
        <v>131.4</v>
      </c>
      <c r="N243" s="220">
        <v>140.67000000000002</v>
      </c>
      <c r="O243" s="220">
        <v>137.14000000000001</v>
      </c>
      <c r="P243" s="224">
        <v>173.73</v>
      </c>
      <c r="Q243" s="220">
        <v>54.4</v>
      </c>
      <c r="R243" s="220">
        <v>38.4</v>
      </c>
      <c r="S243" s="220">
        <v>63.3</v>
      </c>
      <c r="T243" s="220">
        <v>58.4</v>
      </c>
      <c r="U243" s="220">
        <v>62.5</v>
      </c>
      <c r="V243" s="229">
        <v>82.26</v>
      </c>
      <c r="W243" s="220">
        <v>70.400000000000006</v>
      </c>
      <c r="X243" s="220">
        <v>93.38</v>
      </c>
      <c r="Y243" s="220">
        <v>76.58</v>
      </c>
      <c r="Z243" s="224">
        <v>89.88</v>
      </c>
      <c r="AA243" s="220">
        <v>17</v>
      </c>
      <c r="AB243" s="220">
        <v>11.2</v>
      </c>
      <c r="AC243" s="220">
        <v>12.5</v>
      </c>
      <c r="AD243" s="220">
        <v>15.3</v>
      </c>
      <c r="AE243" s="220">
        <v>14.2</v>
      </c>
      <c r="AF243" s="229">
        <v>92</v>
      </c>
      <c r="AG243" s="220">
        <v>81.3</v>
      </c>
      <c r="AH243" s="220">
        <v>87.4</v>
      </c>
      <c r="AI243" s="220">
        <v>100.9</v>
      </c>
      <c r="AJ243" s="224">
        <v>109.4</v>
      </c>
      <c r="AK243" s="363" t="s">
        <v>386</v>
      </c>
      <c r="AL243" s="363" t="s">
        <v>386</v>
      </c>
      <c r="AM243" s="363" t="s">
        <v>386</v>
      </c>
      <c r="AN243" s="363" t="s">
        <v>386</v>
      </c>
      <c r="AO243" s="363" t="s">
        <v>386</v>
      </c>
      <c r="AP243" s="362">
        <v>1914</v>
      </c>
      <c r="AQ243" s="363">
        <v>2298</v>
      </c>
      <c r="AR243" s="363">
        <v>2692</v>
      </c>
      <c r="AS243" s="363">
        <v>2448</v>
      </c>
      <c r="AT243" s="364">
        <v>1781</v>
      </c>
      <c r="AU243" s="363" t="s">
        <v>386</v>
      </c>
      <c r="AV243" s="363" t="s">
        <v>386</v>
      </c>
      <c r="AW243" s="363" t="s">
        <v>386</v>
      </c>
      <c r="AX243" s="363" t="s">
        <v>386</v>
      </c>
      <c r="AY243" s="363" t="s">
        <v>386</v>
      </c>
      <c r="AZ243" s="374" t="s">
        <v>386</v>
      </c>
      <c r="BA243" s="384" t="s">
        <v>386</v>
      </c>
      <c r="BB243" s="375" t="s">
        <v>386</v>
      </c>
      <c r="BC243" s="375" t="s">
        <v>386</v>
      </c>
      <c r="BD243" s="376" t="s">
        <v>386</v>
      </c>
      <c r="BE243" s="363" t="s">
        <v>386</v>
      </c>
      <c r="BF243" s="363" t="s">
        <v>386</v>
      </c>
      <c r="BG243" s="363" t="s">
        <v>386</v>
      </c>
      <c r="BH243" s="363" t="s">
        <v>386</v>
      </c>
      <c r="BI243" s="363" t="s">
        <v>386</v>
      </c>
      <c r="BJ243" s="374" t="s">
        <v>386</v>
      </c>
      <c r="BK243" s="375" t="s">
        <v>386</v>
      </c>
      <c r="BL243" s="375" t="s">
        <v>386</v>
      </c>
      <c r="BM243" s="375" t="s">
        <v>386</v>
      </c>
      <c r="BN243" s="376" t="s">
        <v>386</v>
      </c>
      <c r="BO243" s="375" t="s">
        <v>386</v>
      </c>
      <c r="BP243" s="375" t="s">
        <v>386</v>
      </c>
      <c r="BQ243" s="375" t="s">
        <v>386</v>
      </c>
      <c r="BR243" s="375" t="s">
        <v>386</v>
      </c>
      <c r="BS243" s="376" t="s">
        <v>386</v>
      </c>
      <c r="BT243" s="363" t="s">
        <v>386</v>
      </c>
      <c r="BU243" s="363" t="s">
        <v>386</v>
      </c>
      <c r="BV243" s="363" t="s">
        <v>386</v>
      </c>
      <c r="BW243" s="363" t="s">
        <v>386</v>
      </c>
      <c r="BX243" s="364" t="s">
        <v>386</v>
      </c>
      <c r="BY243" s="363" t="s">
        <v>386</v>
      </c>
      <c r="BZ243" s="363" t="s">
        <v>386</v>
      </c>
      <c r="CA243" s="363" t="s">
        <v>386</v>
      </c>
      <c r="CB243" s="363" t="s">
        <v>386</v>
      </c>
      <c r="CC243" s="363" t="s">
        <v>386</v>
      </c>
      <c r="CD243" s="383" t="s">
        <v>386</v>
      </c>
      <c r="CE243" s="384" t="s">
        <v>386</v>
      </c>
      <c r="CF243" s="384" t="s">
        <v>386</v>
      </c>
      <c r="CG243" s="384" t="s">
        <v>386</v>
      </c>
      <c r="CH243" s="385" t="s">
        <v>386</v>
      </c>
    </row>
    <row r="244" spans="1:86" x14ac:dyDescent="0.25">
      <c r="A244" s="223" t="s">
        <v>353</v>
      </c>
      <c r="B244" s="229">
        <v>69</v>
      </c>
      <c r="C244" s="220">
        <v>48.3</v>
      </c>
      <c r="D244" s="220">
        <v>61.47</v>
      </c>
      <c r="E244" s="220">
        <v>43.2</v>
      </c>
      <c r="F244" s="224">
        <v>75.55</v>
      </c>
      <c r="G244" s="220">
        <v>56.17</v>
      </c>
      <c r="H244" s="220">
        <v>55.49</v>
      </c>
      <c r="I244" s="220">
        <v>57.82</v>
      </c>
      <c r="J244" s="220">
        <v>57.52</v>
      </c>
      <c r="K244" s="220">
        <v>54.86</v>
      </c>
      <c r="L244" s="229">
        <v>199.35999999999999</v>
      </c>
      <c r="M244" s="220">
        <v>184.26999999999998</v>
      </c>
      <c r="N244" s="220">
        <v>199.67999999999998</v>
      </c>
      <c r="O244" s="220">
        <v>184.45000000000002</v>
      </c>
      <c r="P244" s="224">
        <v>196.15</v>
      </c>
      <c r="Q244" s="220">
        <v>42.3</v>
      </c>
      <c r="R244" s="220">
        <v>40</v>
      </c>
      <c r="S244" s="220">
        <v>46.5</v>
      </c>
      <c r="T244" s="220">
        <v>47.3</v>
      </c>
      <c r="U244" s="220">
        <v>41.8</v>
      </c>
      <c r="V244" s="229">
        <v>79.3</v>
      </c>
      <c r="W244" s="220">
        <v>72</v>
      </c>
      <c r="X244" s="220">
        <v>85.5</v>
      </c>
      <c r="Y244" s="220">
        <v>104.17</v>
      </c>
      <c r="Z244" s="224">
        <v>82.7</v>
      </c>
      <c r="AA244" s="363" t="s">
        <v>386</v>
      </c>
      <c r="AB244" s="363" t="s">
        <v>386</v>
      </c>
      <c r="AC244" s="363" t="s">
        <v>386</v>
      </c>
      <c r="AD244" s="363" t="s">
        <v>386</v>
      </c>
      <c r="AE244" s="363" t="s">
        <v>386</v>
      </c>
      <c r="AF244" s="229">
        <v>92.9</v>
      </c>
      <c r="AG244" s="220">
        <v>72</v>
      </c>
      <c r="AH244" s="220">
        <v>86.7</v>
      </c>
      <c r="AI244" s="220">
        <v>95.6</v>
      </c>
      <c r="AJ244" s="224">
        <v>97.4</v>
      </c>
      <c r="AK244" s="363" t="s">
        <v>386</v>
      </c>
      <c r="AL244" s="363" t="s">
        <v>386</v>
      </c>
      <c r="AM244" s="363" t="s">
        <v>386</v>
      </c>
      <c r="AN244" s="363" t="s">
        <v>386</v>
      </c>
      <c r="AO244" s="363" t="s">
        <v>386</v>
      </c>
      <c r="AP244" s="362" t="s">
        <v>386</v>
      </c>
      <c r="AQ244" s="363" t="s">
        <v>386</v>
      </c>
      <c r="AR244" s="363" t="s">
        <v>386</v>
      </c>
      <c r="AS244" s="363" t="s">
        <v>386</v>
      </c>
      <c r="AT244" s="364" t="s">
        <v>386</v>
      </c>
      <c r="AU244" s="363" t="s">
        <v>386</v>
      </c>
      <c r="AV244" s="363" t="s">
        <v>386</v>
      </c>
      <c r="AW244" s="363" t="s">
        <v>386</v>
      </c>
      <c r="AX244" s="363" t="s">
        <v>386</v>
      </c>
      <c r="AY244" s="363" t="s">
        <v>386</v>
      </c>
      <c r="AZ244" s="374" t="s">
        <v>386</v>
      </c>
      <c r="BA244" s="375" t="s">
        <v>386</v>
      </c>
      <c r="BB244" s="375" t="s">
        <v>386</v>
      </c>
      <c r="BC244" s="375" t="s">
        <v>386</v>
      </c>
      <c r="BD244" s="376" t="s">
        <v>386</v>
      </c>
      <c r="BE244" s="363" t="s">
        <v>386</v>
      </c>
      <c r="BF244" s="363" t="s">
        <v>386</v>
      </c>
      <c r="BG244" s="363" t="s">
        <v>386</v>
      </c>
      <c r="BH244" s="363" t="s">
        <v>386</v>
      </c>
      <c r="BI244" s="363" t="s">
        <v>386</v>
      </c>
      <c r="BJ244" s="374" t="s">
        <v>386</v>
      </c>
      <c r="BK244" s="375" t="s">
        <v>386</v>
      </c>
      <c r="BL244" s="375" t="s">
        <v>386</v>
      </c>
      <c r="BM244" s="375" t="s">
        <v>386</v>
      </c>
      <c r="BN244" s="376" t="s">
        <v>386</v>
      </c>
      <c r="BO244" s="375" t="s">
        <v>386</v>
      </c>
      <c r="BP244" s="375" t="s">
        <v>386</v>
      </c>
      <c r="BQ244" s="375" t="s">
        <v>386</v>
      </c>
      <c r="BR244" s="375" t="s">
        <v>386</v>
      </c>
      <c r="BS244" s="376" t="s">
        <v>386</v>
      </c>
      <c r="BT244" s="363" t="s">
        <v>386</v>
      </c>
      <c r="BU244" s="363" t="s">
        <v>386</v>
      </c>
      <c r="BV244" s="363" t="s">
        <v>386</v>
      </c>
      <c r="BW244" s="363" t="s">
        <v>386</v>
      </c>
      <c r="BX244" s="364" t="s">
        <v>386</v>
      </c>
      <c r="BY244" s="363" t="s">
        <v>386</v>
      </c>
      <c r="BZ244" s="363" t="s">
        <v>386</v>
      </c>
      <c r="CA244" s="363" t="s">
        <v>386</v>
      </c>
      <c r="CB244" s="363" t="s">
        <v>386</v>
      </c>
      <c r="CC244" s="363" t="s">
        <v>386</v>
      </c>
      <c r="CD244" s="383" t="s">
        <v>386</v>
      </c>
      <c r="CE244" s="384" t="s">
        <v>386</v>
      </c>
      <c r="CF244" s="384" t="s">
        <v>386</v>
      </c>
      <c r="CG244" s="384" t="s">
        <v>386</v>
      </c>
      <c r="CH244" s="385" t="s">
        <v>386</v>
      </c>
    </row>
    <row r="245" spans="1:86" x14ac:dyDescent="0.25">
      <c r="A245" s="223" t="s">
        <v>354</v>
      </c>
      <c r="B245" s="229">
        <v>54.94</v>
      </c>
      <c r="C245" s="220">
        <v>59.650000000000006</v>
      </c>
      <c r="D245" s="220">
        <v>62.96</v>
      </c>
      <c r="E245" s="220">
        <v>52.37</v>
      </c>
      <c r="F245" s="224">
        <v>59.18</v>
      </c>
      <c r="G245" s="220">
        <v>62.33</v>
      </c>
      <c r="H245" s="220">
        <v>59.28</v>
      </c>
      <c r="I245" s="220">
        <v>56.74</v>
      </c>
      <c r="J245" s="220">
        <v>55.06</v>
      </c>
      <c r="K245" s="220">
        <v>56.68</v>
      </c>
      <c r="L245" s="229">
        <v>218.09</v>
      </c>
      <c r="M245" s="220">
        <v>204.31</v>
      </c>
      <c r="N245" s="220">
        <v>191.84</v>
      </c>
      <c r="O245" s="220">
        <v>185.32</v>
      </c>
      <c r="P245" s="224">
        <v>208.34</v>
      </c>
      <c r="Q245" s="220">
        <v>42.3</v>
      </c>
      <c r="R245" s="220">
        <v>40</v>
      </c>
      <c r="S245" s="220">
        <v>46.5</v>
      </c>
      <c r="T245" s="220">
        <v>47.3</v>
      </c>
      <c r="U245" s="220">
        <v>41.8</v>
      </c>
      <c r="V245" s="229">
        <v>64</v>
      </c>
      <c r="W245" s="220">
        <v>76.8</v>
      </c>
      <c r="X245" s="220">
        <v>97.95</v>
      </c>
      <c r="Y245" s="220">
        <v>93.1</v>
      </c>
      <c r="Z245" s="224">
        <v>95.7</v>
      </c>
      <c r="AA245" s="363" t="s">
        <v>386</v>
      </c>
      <c r="AB245" s="363" t="s">
        <v>386</v>
      </c>
      <c r="AC245" s="363" t="s">
        <v>386</v>
      </c>
      <c r="AD245" s="363" t="s">
        <v>386</v>
      </c>
      <c r="AE245" s="363" t="s">
        <v>386</v>
      </c>
      <c r="AF245" s="229">
        <v>92.53</v>
      </c>
      <c r="AG245" s="220">
        <v>75.099999999999994</v>
      </c>
      <c r="AH245" s="220">
        <v>88.27</v>
      </c>
      <c r="AI245" s="220">
        <v>101.7</v>
      </c>
      <c r="AJ245" s="224">
        <v>105.83</v>
      </c>
      <c r="AK245" s="363" t="s">
        <v>386</v>
      </c>
      <c r="AL245" s="363" t="s">
        <v>386</v>
      </c>
      <c r="AM245" s="363" t="s">
        <v>386</v>
      </c>
      <c r="AN245" s="363" t="s">
        <v>386</v>
      </c>
      <c r="AO245" s="363" t="s">
        <v>386</v>
      </c>
      <c r="AP245" s="362" t="s">
        <v>386</v>
      </c>
      <c r="AQ245" s="363" t="s">
        <v>386</v>
      </c>
      <c r="AR245" s="363" t="s">
        <v>386</v>
      </c>
      <c r="AS245" s="363" t="s">
        <v>386</v>
      </c>
      <c r="AT245" s="364" t="s">
        <v>386</v>
      </c>
      <c r="AU245" s="363" t="s">
        <v>386</v>
      </c>
      <c r="AV245" s="363" t="s">
        <v>386</v>
      </c>
      <c r="AW245" s="363" t="s">
        <v>386</v>
      </c>
      <c r="AX245" s="363" t="s">
        <v>386</v>
      </c>
      <c r="AY245" s="363" t="s">
        <v>386</v>
      </c>
      <c r="AZ245" s="374" t="s">
        <v>386</v>
      </c>
      <c r="BA245" s="384" t="s">
        <v>386</v>
      </c>
      <c r="BB245" s="375" t="s">
        <v>386</v>
      </c>
      <c r="BC245" s="375" t="s">
        <v>386</v>
      </c>
      <c r="BD245" s="376" t="s">
        <v>386</v>
      </c>
      <c r="BE245" s="363" t="s">
        <v>386</v>
      </c>
      <c r="BF245" s="363" t="s">
        <v>386</v>
      </c>
      <c r="BG245" s="363" t="s">
        <v>386</v>
      </c>
      <c r="BH245" s="363" t="s">
        <v>386</v>
      </c>
      <c r="BI245" s="363" t="s">
        <v>386</v>
      </c>
      <c r="BJ245" s="374" t="s">
        <v>386</v>
      </c>
      <c r="BK245" s="375" t="s">
        <v>386</v>
      </c>
      <c r="BL245" s="375" t="s">
        <v>386</v>
      </c>
      <c r="BM245" s="375" t="s">
        <v>386</v>
      </c>
      <c r="BN245" s="376" t="s">
        <v>386</v>
      </c>
      <c r="BO245" s="375" t="s">
        <v>386</v>
      </c>
      <c r="BP245" s="375" t="s">
        <v>386</v>
      </c>
      <c r="BQ245" s="375" t="s">
        <v>386</v>
      </c>
      <c r="BR245" s="375" t="s">
        <v>386</v>
      </c>
      <c r="BS245" s="376" t="s">
        <v>386</v>
      </c>
      <c r="BT245" s="363" t="s">
        <v>386</v>
      </c>
      <c r="BU245" s="363" t="s">
        <v>386</v>
      </c>
      <c r="BV245" s="363" t="s">
        <v>386</v>
      </c>
      <c r="BW245" s="363" t="s">
        <v>386</v>
      </c>
      <c r="BX245" s="364" t="s">
        <v>386</v>
      </c>
      <c r="BY245" s="363" t="s">
        <v>386</v>
      </c>
      <c r="BZ245" s="363" t="s">
        <v>386</v>
      </c>
      <c r="CA245" s="363" t="s">
        <v>386</v>
      </c>
      <c r="CB245" s="363" t="s">
        <v>386</v>
      </c>
      <c r="CC245" s="363" t="s">
        <v>386</v>
      </c>
      <c r="CD245" s="383" t="s">
        <v>386</v>
      </c>
      <c r="CE245" s="384" t="s">
        <v>386</v>
      </c>
      <c r="CF245" s="384" t="s">
        <v>386</v>
      </c>
      <c r="CG245" s="384" t="s">
        <v>386</v>
      </c>
      <c r="CH245" s="385" t="s">
        <v>386</v>
      </c>
    </row>
    <row r="246" spans="1:86" x14ac:dyDescent="0.25">
      <c r="A246" s="223" t="s">
        <v>355</v>
      </c>
      <c r="B246" s="229">
        <v>37.17</v>
      </c>
      <c r="C246" s="220">
        <v>38.65</v>
      </c>
      <c r="D246" s="220">
        <v>26.919999999999998</v>
      </c>
      <c r="E246" s="220">
        <v>25.990000000000002</v>
      </c>
      <c r="F246" s="224">
        <v>29.82</v>
      </c>
      <c r="G246" s="363">
        <v>23.32</v>
      </c>
      <c r="H246" s="363">
        <v>25.6</v>
      </c>
      <c r="I246" s="363">
        <v>27.2</v>
      </c>
      <c r="J246" s="363">
        <v>30.4</v>
      </c>
      <c r="K246" s="363">
        <v>30.4</v>
      </c>
      <c r="L246" s="229">
        <v>56.25</v>
      </c>
      <c r="M246" s="220">
        <v>54.099999999999994</v>
      </c>
      <c r="N246" s="220">
        <v>52.24</v>
      </c>
      <c r="O246" s="220">
        <v>60.33</v>
      </c>
      <c r="P246" s="224">
        <v>51.6</v>
      </c>
      <c r="Q246" s="363">
        <v>31.5</v>
      </c>
      <c r="R246" s="363">
        <v>23.2</v>
      </c>
      <c r="S246" s="363">
        <v>59.4</v>
      </c>
      <c r="T246" s="363">
        <v>61</v>
      </c>
      <c r="U246" s="363">
        <v>57.7</v>
      </c>
      <c r="V246" s="362">
        <v>60.5</v>
      </c>
      <c r="W246" s="363">
        <v>45.1</v>
      </c>
      <c r="X246" s="363">
        <v>45.2</v>
      </c>
      <c r="Y246" s="363">
        <v>84.9</v>
      </c>
      <c r="Z246" s="364">
        <v>76.2</v>
      </c>
      <c r="AA246" s="363" t="s">
        <v>386</v>
      </c>
      <c r="AB246" s="363" t="s">
        <v>386</v>
      </c>
      <c r="AC246" s="363" t="s">
        <v>386</v>
      </c>
      <c r="AD246" s="363" t="s">
        <v>386</v>
      </c>
      <c r="AE246" s="363" t="s">
        <v>386</v>
      </c>
      <c r="AF246" s="362">
        <v>39.5</v>
      </c>
      <c r="AG246" s="363">
        <v>32.86</v>
      </c>
      <c r="AH246" s="363">
        <v>35.07</v>
      </c>
      <c r="AI246" s="363">
        <v>63.46</v>
      </c>
      <c r="AJ246" s="364">
        <v>38.43</v>
      </c>
      <c r="AK246" s="363" t="s">
        <v>386</v>
      </c>
      <c r="AL246" s="363" t="s">
        <v>386</v>
      </c>
      <c r="AM246" s="363" t="s">
        <v>386</v>
      </c>
      <c r="AN246" s="363" t="s">
        <v>386</v>
      </c>
      <c r="AO246" s="363" t="s">
        <v>386</v>
      </c>
      <c r="AP246" s="229">
        <v>1229.8499999999999</v>
      </c>
      <c r="AQ246" s="220">
        <v>1087.8499999999999</v>
      </c>
      <c r="AR246" s="220">
        <v>985.05</v>
      </c>
      <c r="AS246" s="220">
        <v>1101.03</v>
      </c>
      <c r="AT246" s="224">
        <v>1153.1100000000001</v>
      </c>
      <c r="AU246" s="363">
        <v>1694</v>
      </c>
      <c r="AV246" s="363">
        <v>906</v>
      </c>
      <c r="AW246" s="363">
        <v>800</v>
      </c>
      <c r="AX246" s="363">
        <v>2153</v>
      </c>
      <c r="AY246" s="363">
        <v>1346</v>
      </c>
      <c r="AZ246" s="374" t="s">
        <v>386</v>
      </c>
      <c r="BA246" s="384" t="s">
        <v>386</v>
      </c>
      <c r="BB246" s="375" t="s">
        <v>386</v>
      </c>
      <c r="BC246" s="375" t="s">
        <v>386</v>
      </c>
      <c r="BD246" s="376" t="s">
        <v>386</v>
      </c>
      <c r="BE246" s="363">
        <v>781</v>
      </c>
      <c r="BF246" s="363">
        <v>822</v>
      </c>
      <c r="BG246" s="363">
        <v>692</v>
      </c>
      <c r="BH246" s="363">
        <v>941</v>
      </c>
      <c r="BI246" s="363">
        <v>968</v>
      </c>
      <c r="BJ246" s="374" t="s">
        <v>386</v>
      </c>
      <c r="BK246" s="375" t="s">
        <v>386</v>
      </c>
      <c r="BL246" s="375" t="s">
        <v>386</v>
      </c>
      <c r="BM246" s="375" t="s">
        <v>386</v>
      </c>
      <c r="BN246" s="376" t="s">
        <v>386</v>
      </c>
      <c r="BO246" s="375" t="s">
        <v>386</v>
      </c>
      <c r="BP246" s="375" t="s">
        <v>386</v>
      </c>
      <c r="BQ246" s="375" t="s">
        <v>386</v>
      </c>
      <c r="BR246" s="375" t="s">
        <v>386</v>
      </c>
      <c r="BS246" s="376" t="s">
        <v>386</v>
      </c>
      <c r="BT246" s="363" t="s">
        <v>386</v>
      </c>
      <c r="BU246" s="363" t="s">
        <v>386</v>
      </c>
      <c r="BV246" s="363" t="s">
        <v>386</v>
      </c>
      <c r="BW246" s="363" t="s">
        <v>386</v>
      </c>
      <c r="BX246" s="364" t="s">
        <v>386</v>
      </c>
      <c r="BY246" s="363" t="s">
        <v>386</v>
      </c>
      <c r="BZ246" s="363" t="s">
        <v>386</v>
      </c>
      <c r="CA246" s="363" t="s">
        <v>386</v>
      </c>
      <c r="CB246" s="363" t="s">
        <v>386</v>
      </c>
      <c r="CC246" s="363" t="s">
        <v>386</v>
      </c>
      <c r="CD246" s="383" t="s">
        <v>386</v>
      </c>
      <c r="CE246" s="384" t="s">
        <v>386</v>
      </c>
      <c r="CF246" s="384" t="s">
        <v>386</v>
      </c>
      <c r="CG246" s="384" t="s">
        <v>386</v>
      </c>
      <c r="CH246" s="385" t="s">
        <v>386</v>
      </c>
    </row>
    <row r="247" spans="1:86" x14ac:dyDescent="0.25">
      <c r="A247" s="223" t="s">
        <v>356</v>
      </c>
      <c r="B247" s="229">
        <v>48.019999999999996</v>
      </c>
      <c r="C247" s="220">
        <v>27</v>
      </c>
      <c r="D247" s="220">
        <v>26.88</v>
      </c>
      <c r="E247" s="220">
        <v>58.41</v>
      </c>
      <c r="F247" s="224">
        <v>56.080000000000005</v>
      </c>
      <c r="G247" s="220">
        <v>23.32</v>
      </c>
      <c r="H247" s="220">
        <v>20.8</v>
      </c>
      <c r="I247" s="220">
        <v>20.8</v>
      </c>
      <c r="J247" s="220">
        <v>23.54</v>
      </c>
      <c r="K247" s="220">
        <v>21.96</v>
      </c>
      <c r="L247" s="229">
        <v>54.86</v>
      </c>
      <c r="M247" s="220">
        <v>71.61</v>
      </c>
      <c r="N247" s="220">
        <v>57.91</v>
      </c>
      <c r="O247" s="220">
        <v>96.11</v>
      </c>
      <c r="P247" s="224">
        <v>65.739999999999995</v>
      </c>
      <c r="Q247" s="220">
        <v>31.6</v>
      </c>
      <c r="R247" s="220">
        <v>21.6</v>
      </c>
      <c r="S247" s="220">
        <v>62.1</v>
      </c>
      <c r="T247" s="220">
        <v>62.9</v>
      </c>
      <c r="U247" s="220">
        <v>58.5</v>
      </c>
      <c r="V247" s="229">
        <v>54.6</v>
      </c>
      <c r="W247" s="220">
        <v>32.799999999999997</v>
      </c>
      <c r="X247" s="220">
        <v>32.799999999999997</v>
      </c>
      <c r="Y247" s="220">
        <v>70.7</v>
      </c>
      <c r="Z247" s="224">
        <v>73.099999999999994</v>
      </c>
      <c r="AA247" s="363" t="s">
        <v>386</v>
      </c>
      <c r="AB247" s="363" t="s">
        <v>386</v>
      </c>
      <c r="AC247" s="363" t="s">
        <v>386</v>
      </c>
      <c r="AD247" s="363" t="s">
        <v>386</v>
      </c>
      <c r="AE247" s="363" t="s">
        <v>386</v>
      </c>
      <c r="AF247" s="229">
        <v>21.55</v>
      </c>
      <c r="AG247" s="220">
        <v>41.53</v>
      </c>
      <c r="AH247" s="220">
        <v>46.86</v>
      </c>
      <c r="AI247" s="220">
        <v>68.59</v>
      </c>
      <c r="AJ247" s="224">
        <v>37.520000000000003</v>
      </c>
      <c r="AK247" s="363" t="s">
        <v>386</v>
      </c>
      <c r="AL247" s="363" t="s">
        <v>386</v>
      </c>
      <c r="AM247" s="363" t="s">
        <v>386</v>
      </c>
      <c r="AN247" s="363" t="s">
        <v>386</v>
      </c>
      <c r="AO247" s="363" t="s">
        <v>386</v>
      </c>
      <c r="AP247" s="229">
        <v>1559.09</v>
      </c>
      <c r="AQ247" s="220">
        <v>1829.98</v>
      </c>
      <c r="AR247" s="220">
        <v>1589.91</v>
      </c>
      <c r="AS247" s="220">
        <v>1540.66</v>
      </c>
      <c r="AT247" s="224">
        <v>1647</v>
      </c>
      <c r="AU247" s="363" t="s">
        <v>386</v>
      </c>
      <c r="AV247" s="363" t="s">
        <v>386</v>
      </c>
      <c r="AW247" s="363" t="s">
        <v>386</v>
      </c>
      <c r="AX247" s="363" t="s">
        <v>386</v>
      </c>
      <c r="AY247" s="363" t="s">
        <v>386</v>
      </c>
      <c r="AZ247" s="374" t="s">
        <v>386</v>
      </c>
      <c r="BA247" s="384" t="s">
        <v>386</v>
      </c>
      <c r="BB247" s="375" t="s">
        <v>386</v>
      </c>
      <c r="BC247" s="375" t="s">
        <v>386</v>
      </c>
      <c r="BD247" s="376" t="s">
        <v>386</v>
      </c>
      <c r="BE247" s="220">
        <v>748.31</v>
      </c>
      <c r="BF247" s="220">
        <v>796.08</v>
      </c>
      <c r="BG247" s="220">
        <v>803.06</v>
      </c>
      <c r="BH247" s="220">
        <v>815.2</v>
      </c>
      <c r="BI247" s="220">
        <v>1030.54</v>
      </c>
      <c r="BJ247" s="374" t="s">
        <v>386</v>
      </c>
      <c r="BK247" s="375" t="s">
        <v>386</v>
      </c>
      <c r="BL247" s="375" t="s">
        <v>386</v>
      </c>
      <c r="BM247" s="375" t="s">
        <v>386</v>
      </c>
      <c r="BN247" s="376" t="s">
        <v>386</v>
      </c>
      <c r="BO247" s="375" t="s">
        <v>386</v>
      </c>
      <c r="BP247" s="375" t="s">
        <v>386</v>
      </c>
      <c r="BQ247" s="375" t="s">
        <v>386</v>
      </c>
      <c r="BR247" s="375" t="s">
        <v>386</v>
      </c>
      <c r="BS247" s="376" t="s">
        <v>386</v>
      </c>
      <c r="BT247" s="220" t="s">
        <v>386</v>
      </c>
      <c r="BU247" s="220" t="s">
        <v>386</v>
      </c>
      <c r="BV247" s="220" t="s">
        <v>386</v>
      </c>
      <c r="BW247" s="220" t="s">
        <v>386</v>
      </c>
      <c r="BX247" s="224" t="s">
        <v>386</v>
      </c>
      <c r="BY247" s="220">
        <v>1859</v>
      </c>
      <c r="BZ247" s="220">
        <v>677.6</v>
      </c>
      <c r="CA247" s="220">
        <v>1164</v>
      </c>
      <c r="CB247" s="220">
        <v>2289</v>
      </c>
      <c r="CC247" s="220">
        <v>1355</v>
      </c>
      <c r="CD247" s="383" t="s">
        <v>386</v>
      </c>
      <c r="CE247" s="384" t="s">
        <v>386</v>
      </c>
      <c r="CF247" s="384" t="s">
        <v>386</v>
      </c>
      <c r="CG247" s="384" t="s">
        <v>386</v>
      </c>
      <c r="CH247" s="385" t="s">
        <v>386</v>
      </c>
    </row>
    <row r="248" spans="1:86" x14ac:dyDescent="0.25">
      <c r="A248" s="223" t="s">
        <v>357</v>
      </c>
      <c r="B248" s="229">
        <v>36.58</v>
      </c>
      <c r="C248" s="220">
        <v>24.75</v>
      </c>
      <c r="D248" s="220">
        <v>42.77</v>
      </c>
      <c r="E248" s="220">
        <v>38.24</v>
      </c>
      <c r="F248" s="224">
        <v>39.68</v>
      </c>
      <c r="G248" s="220">
        <v>24.49</v>
      </c>
      <c r="H248" s="220">
        <v>15.2</v>
      </c>
      <c r="I248" s="220">
        <v>15.91</v>
      </c>
      <c r="J248" s="220">
        <v>41.58</v>
      </c>
      <c r="K248" s="220">
        <v>16.8</v>
      </c>
      <c r="L248" s="229">
        <v>75.66</v>
      </c>
      <c r="M248" s="220">
        <v>59.25</v>
      </c>
      <c r="N248" s="220">
        <v>64.59</v>
      </c>
      <c r="O248" s="220">
        <v>100.27000000000001</v>
      </c>
      <c r="P248" s="224">
        <v>57.62</v>
      </c>
      <c r="Q248" s="220">
        <v>40.799999999999997</v>
      </c>
      <c r="R248" s="220">
        <v>28.8</v>
      </c>
      <c r="S248" s="220">
        <v>35.29</v>
      </c>
      <c r="T248" s="220">
        <v>43.3</v>
      </c>
      <c r="U248" s="220">
        <v>42.8</v>
      </c>
      <c r="V248" s="229">
        <v>46.7</v>
      </c>
      <c r="W248" s="220">
        <v>38.4</v>
      </c>
      <c r="X248" s="220">
        <v>66.260000000000005</v>
      </c>
      <c r="Y248" s="220">
        <v>49.98</v>
      </c>
      <c r="Z248" s="224">
        <v>54.62</v>
      </c>
      <c r="AA248" s="220">
        <v>18.23</v>
      </c>
      <c r="AB248" s="220">
        <v>9.6</v>
      </c>
      <c r="AC248" s="220">
        <v>15.9</v>
      </c>
      <c r="AD248" s="220">
        <v>13.5</v>
      </c>
      <c r="AE248" s="220">
        <v>18.7</v>
      </c>
      <c r="AF248" s="229">
        <v>47.4</v>
      </c>
      <c r="AG248" s="220">
        <v>32</v>
      </c>
      <c r="AH248" s="220">
        <v>23</v>
      </c>
      <c r="AI248" s="220">
        <v>41.3</v>
      </c>
      <c r="AJ248" s="224">
        <v>53.4</v>
      </c>
      <c r="AK248" s="220">
        <v>1721</v>
      </c>
      <c r="AL248" s="220">
        <v>1455</v>
      </c>
      <c r="AM248" s="220">
        <v>2148.4499999999998</v>
      </c>
      <c r="AN248" s="220">
        <v>2213.44</v>
      </c>
      <c r="AO248" s="220">
        <v>1479.83</v>
      </c>
      <c r="AP248" s="229">
        <v>1594.3300000000002</v>
      </c>
      <c r="AQ248" s="220">
        <v>1390.97</v>
      </c>
      <c r="AR248" s="220">
        <v>1631.94</v>
      </c>
      <c r="AS248" s="220">
        <v>1768.47</v>
      </c>
      <c r="AT248" s="224">
        <v>1494.93</v>
      </c>
      <c r="AU248" s="220">
        <v>1893</v>
      </c>
      <c r="AV248" s="220">
        <v>1244</v>
      </c>
      <c r="AW248" s="220">
        <v>1815</v>
      </c>
      <c r="AX248" s="220">
        <v>2481</v>
      </c>
      <c r="AY248" s="220">
        <v>1596</v>
      </c>
      <c r="AZ248" s="229">
        <v>1893</v>
      </c>
      <c r="BA248" s="220">
        <v>1026.4000000000001</v>
      </c>
      <c r="BB248" s="220">
        <v>1787</v>
      </c>
      <c r="BC248" s="220">
        <v>2396</v>
      </c>
      <c r="BD248" s="224">
        <v>1700</v>
      </c>
      <c r="BE248" s="220">
        <v>1001</v>
      </c>
      <c r="BF248" s="220">
        <v>683</v>
      </c>
      <c r="BG248" s="220">
        <v>869</v>
      </c>
      <c r="BH248" s="220">
        <v>1018</v>
      </c>
      <c r="BI248" s="220">
        <v>1023</v>
      </c>
      <c r="BJ248" s="374" t="s">
        <v>386</v>
      </c>
      <c r="BK248" s="375" t="s">
        <v>386</v>
      </c>
      <c r="BL248" s="375" t="s">
        <v>386</v>
      </c>
      <c r="BM248" s="375" t="s">
        <v>386</v>
      </c>
      <c r="BN248" s="376" t="s">
        <v>386</v>
      </c>
      <c r="BO248" s="375" t="s">
        <v>386</v>
      </c>
      <c r="BP248" s="375" t="s">
        <v>386</v>
      </c>
      <c r="BQ248" s="375" t="s">
        <v>386</v>
      </c>
      <c r="BR248" s="375" t="s">
        <v>386</v>
      </c>
      <c r="BS248" s="376" t="s">
        <v>386</v>
      </c>
      <c r="BT248" s="220" t="s">
        <v>386</v>
      </c>
      <c r="BU248" s="220" t="s">
        <v>386</v>
      </c>
      <c r="BV248" s="220" t="s">
        <v>386</v>
      </c>
      <c r="BW248" s="220" t="s">
        <v>386</v>
      </c>
      <c r="BX248" s="224" t="s">
        <v>386</v>
      </c>
      <c r="BY248" s="220">
        <v>1893</v>
      </c>
      <c r="BZ248" s="220">
        <v>966</v>
      </c>
      <c r="CA248" s="220">
        <v>1815</v>
      </c>
      <c r="CB248" s="220">
        <v>2481</v>
      </c>
      <c r="CC248" s="220">
        <v>1371.71</v>
      </c>
      <c r="CD248" s="383">
        <v>1893</v>
      </c>
      <c r="CE248" s="384">
        <v>966</v>
      </c>
      <c r="CF248" s="384">
        <v>1815</v>
      </c>
      <c r="CG248" s="384">
        <v>2481</v>
      </c>
      <c r="CH248" s="385">
        <v>1596</v>
      </c>
    </row>
    <row r="249" spans="1:86" x14ac:dyDescent="0.25">
      <c r="A249" s="223" t="s">
        <v>358</v>
      </c>
      <c r="B249" s="229">
        <v>72.44</v>
      </c>
      <c r="C249" s="220">
        <v>43.8</v>
      </c>
      <c r="D249" s="220">
        <v>67.650000000000006</v>
      </c>
      <c r="E249" s="220">
        <v>43.51</v>
      </c>
      <c r="F249" s="224">
        <v>72.97999999999999</v>
      </c>
      <c r="G249" s="220">
        <v>44.620000000000005</v>
      </c>
      <c r="H249" s="220">
        <v>32.32</v>
      </c>
      <c r="I249" s="220">
        <v>45.379999999999995</v>
      </c>
      <c r="J249" s="220">
        <v>44.779999999999994</v>
      </c>
      <c r="K249" s="220">
        <v>46.059999999999995</v>
      </c>
      <c r="L249" s="229">
        <v>163.52000000000001</v>
      </c>
      <c r="M249" s="220">
        <v>106.85</v>
      </c>
      <c r="N249" s="220">
        <v>147.30000000000001</v>
      </c>
      <c r="O249" s="220">
        <v>152.81</v>
      </c>
      <c r="P249" s="224">
        <v>169.61</v>
      </c>
      <c r="Q249" s="220">
        <v>40.1</v>
      </c>
      <c r="R249" s="220">
        <v>40</v>
      </c>
      <c r="S249" s="220">
        <v>50.6</v>
      </c>
      <c r="T249" s="220">
        <v>45.3</v>
      </c>
      <c r="U249" s="220">
        <v>58</v>
      </c>
      <c r="V249" s="229">
        <v>110.1</v>
      </c>
      <c r="W249" s="220">
        <v>72</v>
      </c>
      <c r="X249" s="220">
        <v>88.35</v>
      </c>
      <c r="Y249" s="220">
        <v>72</v>
      </c>
      <c r="Z249" s="224">
        <v>113.46</v>
      </c>
      <c r="AA249" s="220">
        <v>17.100000000000001</v>
      </c>
      <c r="AB249" s="220">
        <v>12</v>
      </c>
      <c r="AC249" s="220">
        <v>16.2</v>
      </c>
      <c r="AD249" s="220">
        <v>15.8</v>
      </c>
      <c r="AE249" s="220">
        <v>16.600000000000001</v>
      </c>
      <c r="AF249" s="229">
        <v>68.5</v>
      </c>
      <c r="AG249" s="220">
        <v>76.099999999999994</v>
      </c>
      <c r="AH249" s="220">
        <v>73.5</v>
      </c>
      <c r="AI249" s="220">
        <v>82.94</v>
      </c>
      <c r="AJ249" s="224">
        <v>119.02</v>
      </c>
      <c r="AK249" s="363" t="s">
        <v>386</v>
      </c>
      <c r="AL249" s="363" t="s">
        <v>386</v>
      </c>
      <c r="AM249" s="363" t="s">
        <v>386</v>
      </c>
      <c r="AN249" s="363" t="s">
        <v>386</v>
      </c>
      <c r="AO249" s="363" t="s">
        <v>386</v>
      </c>
      <c r="AP249" s="229">
        <v>2758.1800000000003</v>
      </c>
      <c r="AQ249" s="220">
        <v>2585.1499999999996</v>
      </c>
      <c r="AR249" s="220">
        <v>2668.41</v>
      </c>
      <c r="AS249" s="220">
        <v>2229.87</v>
      </c>
      <c r="AT249" s="224">
        <v>1946.22</v>
      </c>
      <c r="AU249" s="220">
        <v>1923.2</v>
      </c>
      <c r="AV249" s="220">
        <v>1923.2</v>
      </c>
      <c r="AW249" s="220">
        <v>1923.2</v>
      </c>
      <c r="AX249" s="220">
        <v>2242</v>
      </c>
      <c r="AY249" s="220">
        <v>2136</v>
      </c>
      <c r="AZ249" s="229">
        <v>1500</v>
      </c>
      <c r="BA249" s="220">
        <v>1500</v>
      </c>
      <c r="BB249" s="220">
        <v>1865</v>
      </c>
      <c r="BC249" s="220">
        <v>2242</v>
      </c>
      <c r="BD249" s="224">
        <v>2136</v>
      </c>
      <c r="BE249" s="363" t="s">
        <v>386</v>
      </c>
      <c r="BF249" s="363" t="s">
        <v>386</v>
      </c>
      <c r="BG249" s="363" t="s">
        <v>386</v>
      </c>
      <c r="BH249" s="363" t="s">
        <v>386</v>
      </c>
      <c r="BI249" s="363" t="s">
        <v>386</v>
      </c>
      <c r="BJ249" s="374" t="s">
        <v>386</v>
      </c>
      <c r="BK249" s="375" t="s">
        <v>386</v>
      </c>
      <c r="BL249" s="375" t="s">
        <v>386</v>
      </c>
      <c r="BM249" s="375" t="s">
        <v>386</v>
      </c>
      <c r="BN249" s="376" t="s">
        <v>386</v>
      </c>
      <c r="BO249" s="375" t="s">
        <v>386</v>
      </c>
      <c r="BP249" s="375" t="s">
        <v>386</v>
      </c>
      <c r="BQ249" s="375" t="s">
        <v>386</v>
      </c>
      <c r="BR249" s="375" t="s">
        <v>386</v>
      </c>
      <c r="BS249" s="376" t="s">
        <v>386</v>
      </c>
      <c r="BT249" s="363" t="s">
        <v>386</v>
      </c>
      <c r="BU249" s="363" t="s">
        <v>386</v>
      </c>
      <c r="BV249" s="363" t="s">
        <v>386</v>
      </c>
      <c r="BW249" s="363" t="s">
        <v>386</v>
      </c>
      <c r="BX249" s="364" t="s">
        <v>386</v>
      </c>
      <c r="BY249" s="363" t="s">
        <v>386</v>
      </c>
      <c r="BZ249" s="363" t="s">
        <v>386</v>
      </c>
      <c r="CA249" s="363" t="s">
        <v>386</v>
      </c>
      <c r="CB249" s="363" t="s">
        <v>386</v>
      </c>
      <c r="CC249" s="363" t="s">
        <v>386</v>
      </c>
      <c r="CD249" s="374" t="s">
        <v>386</v>
      </c>
      <c r="CE249" s="375" t="s">
        <v>386</v>
      </c>
      <c r="CF249" s="375" t="s">
        <v>386</v>
      </c>
      <c r="CG249" s="375" t="s">
        <v>386</v>
      </c>
      <c r="CH249" s="376" t="s">
        <v>386</v>
      </c>
    </row>
    <row r="250" spans="1:86" x14ac:dyDescent="0.25">
      <c r="A250" s="223" t="s">
        <v>359</v>
      </c>
      <c r="B250" s="229">
        <v>57.12</v>
      </c>
      <c r="C250" s="220">
        <v>46.1</v>
      </c>
      <c r="D250" s="220">
        <v>48.42</v>
      </c>
      <c r="E250" s="220">
        <v>54.9</v>
      </c>
      <c r="F250" s="224">
        <v>48.46</v>
      </c>
      <c r="G250" s="220">
        <v>47.77</v>
      </c>
      <c r="H250" s="220">
        <v>54.190000000000005</v>
      </c>
      <c r="I250" s="220">
        <v>46.84</v>
      </c>
      <c r="J250" s="220">
        <v>49.75</v>
      </c>
      <c r="K250" s="220">
        <v>41.86</v>
      </c>
      <c r="L250" s="229">
        <v>195.14000000000001</v>
      </c>
      <c r="M250" s="220">
        <v>205.38</v>
      </c>
      <c r="N250" s="220">
        <v>184.59</v>
      </c>
      <c r="O250" s="220">
        <v>175.51</v>
      </c>
      <c r="P250" s="224">
        <v>193.25</v>
      </c>
      <c r="Q250" s="220">
        <v>76.7</v>
      </c>
      <c r="R250" s="220">
        <v>66.7</v>
      </c>
      <c r="S250" s="220">
        <v>77.5</v>
      </c>
      <c r="T250" s="220">
        <v>84.8</v>
      </c>
      <c r="U250" s="220">
        <v>71.900000000000006</v>
      </c>
      <c r="V250" s="229">
        <v>83.86</v>
      </c>
      <c r="W250" s="220">
        <v>64</v>
      </c>
      <c r="X250" s="220">
        <v>64</v>
      </c>
      <c r="Y250" s="220">
        <v>64</v>
      </c>
      <c r="Z250" s="224">
        <v>70.73</v>
      </c>
      <c r="AA250" s="363" t="s">
        <v>386</v>
      </c>
      <c r="AB250" s="363" t="s">
        <v>386</v>
      </c>
      <c r="AC250" s="363" t="s">
        <v>386</v>
      </c>
      <c r="AD250" s="363" t="s">
        <v>386</v>
      </c>
      <c r="AE250" s="363" t="s">
        <v>386</v>
      </c>
      <c r="AF250" s="229" t="s">
        <v>386</v>
      </c>
      <c r="AG250" s="220" t="s">
        <v>386</v>
      </c>
      <c r="AH250" s="220" t="s">
        <v>386</v>
      </c>
      <c r="AI250" s="220" t="s">
        <v>386</v>
      </c>
      <c r="AJ250" s="224" t="s">
        <v>386</v>
      </c>
      <c r="AK250" s="363" t="s">
        <v>386</v>
      </c>
      <c r="AL250" s="363" t="s">
        <v>386</v>
      </c>
      <c r="AM250" s="363" t="s">
        <v>386</v>
      </c>
      <c r="AN250" s="363" t="s">
        <v>386</v>
      </c>
      <c r="AO250" s="363" t="s">
        <v>386</v>
      </c>
      <c r="AP250" s="229">
        <v>1920</v>
      </c>
      <c r="AQ250" s="220">
        <v>2329</v>
      </c>
      <c r="AR250" s="220">
        <v>2555</v>
      </c>
      <c r="AS250" s="220">
        <v>2545</v>
      </c>
      <c r="AT250" s="224">
        <v>1857</v>
      </c>
      <c r="AU250" s="363" t="s">
        <v>386</v>
      </c>
      <c r="AV250" s="363" t="s">
        <v>386</v>
      </c>
      <c r="AW250" s="363" t="s">
        <v>386</v>
      </c>
      <c r="AX250" s="363" t="s">
        <v>386</v>
      </c>
      <c r="AY250" s="363" t="s">
        <v>386</v>
      </c>
      <c r="AZ250" s="362" t="s">
        <v>386</v>
      </c>
      <c r="BA250" s="363" t="s">
        <v>386</v>
      </c>
      <c r="BB250" s="363" t="s">
        <v>386</v>
      </c>
      <c r="BC250" s="363" t="s">
        <v>386</v>
      </c>
      <c r="BD250" s="364" t="s">
        <v>386</v>
      </c>
      <c r="BE250" s="363" t="s">
        <v>386</v>
      </c>
      <c r="BF250" s="363" t="s">
        <v>386</v>
      </c>
      <c r="BG250" s="363" t="s">
        <v>386</v>
      </c>
      <c r="BH250" s="363" t="s">
        <v>386</v>
      </c>
      <c r="BI250" s="363" t="s">
        <v>386</v>
      </c>
      <c r="BJ250" s="374" t="s">
        <v>386</v>
      </c>
      <c r="BK250" s="375" t="s">
        <v>386</v>
      </c>
      <c r="BL250" s="375" t="s">
        <v>386</v>
      </c>
      <c r="BM250" s="375" t="s">
        <v>386</v>
      </c>
      <c r="BN250" s="376" t="s">
        <v>386</v>
      </c>
      <c r="BO250" s="375" t="s">
        <v>386</v>
      </c>
      <c r="BP250" s="375" t="s">
        <v>386</v>
      </c>
      <c r="BQ250" s="375" t="s">
        <v>386</v>
      </c>
      <c r="BR250" s="375" t="s">
        <v>386</v>
      </c>
      <c r="BS250" s="376" t="s">
        <v>386</v>
      </c>
      <c r="BT250" s="363" t="s">
        <v>386</v>
      </c>
      <c r="BU250" s="363" t="s">
        <v>386</v>
      </c>
      <c r="BV250" s="363" t="s">
        <v>386</v>
      </c>
      <c r="BW250" s="363" t="s">
        <v>386</v>
      </c>
      <c r="BX250" s="364" t="s">
        <v>386</v>
      </c>
      <c r="BY250" s="363" t="s">
        <v>386</v>
      </c>
      <c r="BZ250" s="363" t="s">
        <v>386</v>
      </c>
      <c r="CA250" s="363" t="s">
        <v>386</v>
      </c>
      <c r="CB250" s="363" t="s">
        <v>386</v>
      </c>
      <c r="CC250" s="363" t="s">
        <v>386</v>
      </c>
      <c r="CD250" s="374" t="s">
        <v>386</v>
      </c>
      <c r="CE250" s="375" t="s">
        <v>386</v>
      </c>
      <c r="CF250" s="375" t="s">
        <v>386</v>
      </c>
      <c r="CG250" s="375" t="s">
        <v>386</v>
      </c>
      <c r="CH250" s="376" t="s">
        <v>386</v>
      </c>
    </row>
    <row r="251" spans="1:86" x14ac:dyDescent="0.25">
      <c r="A251" s="223" t="s">
        <v>360</v>
      </c>
      <c r="B251" s="229">
        <v>71.81</v>
      </c>
      <c r="C251" s="220">
        <v>47.78</v>
      </c>
      <c r="D251" s="220">
        <v>48.18</v>
      </c>
      <c r="E251" s="220">
        <v>41.27</v>
      </c>
      <c r="F251" s="224">
        <v>66.3</v>
      </c>
      <c r="G251" s="220">
        <v>48.18</v>
      </c>
      <c r="H251" s="220">
        <v>40.99</v>
      </c>
      <c r="I251" s="220">
        <v>35.32</v>
      </c>
      <c r="J251" s="220">
        <v>35.64</v>
      </c>
      <c r="K251" s="220">
        <v>40.14</v>
      </c>
      <c r="L251" s="229">
        <v>178.83</v>
      </c>
      <c r="M251" s="220">
        <v>139.81</v>
      </c>
      <c r="N251" s="220">
        <v>120.52</v>
      </c>
      <c r="O251" s="220">
        <v>131.13999999999999</v>
      </c>
      <c r="P251" s="224">
        <v>153.6</v>
      </c>
      <c r="Q251" s="220">
        <v>54.9</v>
      </c>
      <c r="R251" s="220">
        <v>38.4</v>
      </c>
      <c r="S251" s="220">
        <v>59</v>
      </c>
      <c r="T251" s="220">
        <v>55.9</v>
      </c>
      <c r="U251" s="220">
        <v>58.1</v>
      </c>
      <c r="V251" s="229">
        <v>72</v>
      </c>
      <c r="W251" s="220">
        <v>66.3</v>
      </c>
      <c r="X251" s="220">
        <v>64.8</v>
      </c>
      <c r="Y251" s="220">
        <v>64.8</v>
      </c>
      <c r="Z251" s="224">
        <v>63.25</v>
      </c>
      <c r="AA251" s="363" t="s">
        <v>386</v>
      </c>
      <c r="AB251" s="363" t="s">
        <v>386</v>
      </c>
      <c r="AC251" s="363" t="s">
        <v>386</v>
      </c>
      <c r="AD251" s="363" t="s">
        <v>386</v>
      </c>
      <c r="AE251" s="363" t="s">
        <v>386</v>
      </c>
      <c r="AF251" s="229">
        <v>93.4</v>
      </c>
      <c r="AG251" s="220">
        <v>72.2</v>
      </c>
      <c r="AH251" s="220">
        <v>87.1</v>
      </c>
      <c r="AI251" s="220">
        <v>55.2</v>
      </c>
      <c r="AJ251" s="224">
        <v>111.5</v>
      </c>
      <c r="AK251" s="363" t="s">
        <v>386</v>
      </c>
      <c r="AL251" s="363" t="s">
        <v>386</v>
      </c>
      <c r="AM251" s="363" t="s">
        <v>386</v>
      </c>
      <c r="AN251" s="363" t="s">
        <v>386</v>
      </c>
      <c r="AO251" s="363" t="s">
        <v>386</v>
      </c>
      <c r="AP251" s="229">
        <v>2220</v>
      </c>
      <c r="AQ251" s="220">
        <v>2520</v>
      </c>
      <c r="AR251" s="220">
        <v>2557</v>
      </c>
      <c r="AS251" s="220">
        <v>2589</v>
      </c>
      <c r="AT251" s="224">
        <v>2194</v>
      </c>
      <c r="AU251" s="363" t="s">
        <v>386</v>
      </c>
      <c r="AV251" s="363" t="s">
        <v>386</v>
      </c>
      <c r="AW251" s="363" t="s">
        <v>386</v>
      </c>
      <c r="AX251" s="363" t="s">
        <v>386</v>
      </c>
      <c r="AY251" s="363" t="s">
        <v>386</v>
      </c>
      <c r="AZ251" s="374" t="s">
        <v>386</v>
      </c>
      <c r="BA251" s="375" t="s">
        <v>386</v>
      </c>
      <c r="BB251" s="375" t="s">
        <v>386</v>
      </c>
      <c r="BC251" s="375" t="s">
        <v>386</v>
      </c>
      <c r="BD251" s="376" t="s">
        <v>386</v>
      </c>
      <c r="BE251" s="363" t="s">
        <v>386</v>
      </c>
      <c r="BF251" s="363" t="s">
        <v>386</v>
      </c>
      <c r="BG251" s="363" t="s">
        <v>386</v>
      </c>
      <c r="BH251" s="363" t="s">
        <v>386</v>
      </c>
      <c r="BI251" s="363" t="s">
        <v>386</v>
      </c>
      <c r="BJ251" s="374" t="s">
        <v>386</v>
      </c>
      <c r="BK251" s="375" t="s">
        <v>386</v>
      </c>
      <c r="BL251" s="375" t="s">
        <v>386</v>
      </c>
      <c r="BM251" s="375" t="s">
        <v>386</v>
      </c>
      <c r="BN251" s="376" t="s">
        <v>386</v>
      </c>
      <c r="BO251" s="375" t="s">
        <v>386</v>
      </c>
      <c r="BP251" s="375" t="s">
        <v>386</v>
      </c>
      <c r="BQ251" s="375" t="s">
        <v>386</v>
      </c>
      <c r="BR251" s="375" t="s">
        <v>386</v>
      </c>
      <c r="BS251" s="376" t="s">
        <v>386</v>
      </c>
      <c r="BT251" s="363" t="s">
        <v>386</v>
      </c>
      <c r="BU251" s="363" t="s">
        <v>386</v>
      </c>
      <c r="BV251" s="363" t="s">
        <v>386</v>
      </c>
      <c r="BW251" s="363" t="s">
        <v>386</v>
      </c>
      <c r="BX251" s="364" t="s">
        <v>386</v>
      </c>
      <c r="BY251" s="363" t="s">
        <v>386</v>
      </c>
      <c r="BZ251" s="363" t="s">
        <v>386</v>
      </c>
      <c r="CA251" s="363" t="s">
        <v>386</v>
      </c>
      <c r="CB251" s="363" t="s">
        <v>386</v>
      </c>
      <c r="CC251" s="363" t="s">
        <v>386</v>
      </c>
      <c r="CD251" s="374" t="s">
        <v>386</v>
      </c>
      <c r="CE251" s="375" t="s">
        <v>386</v>
      </c>
      <c r="CF251" s="375" t="s">
        <v>386</v>
      </c>
      <c r="CG251" s="375" t="s">
        <v>386</v>
      </c>
      <c r="CH251" s="376" t="s">
        <v>386</v>
      </c>
    </row>
    <row r="252" spans="1:86" x14ac:dyDescent="0.25">
      <c r="A252" s="223" t="s">
        <v>361</v>
      </c>
      <c r="B252" s="229">
        <v>60.949999999999996</v>
      </c>
      <c r="C252" s="220">
        <v>49.05</v>
      </c>
      <c r="D252" s="220">
        <v>61.26</v>
      </c>
      <c r="E252" s="220">
        <v>41.150000000000006</v>
      </c>
      <c r="F252" s="224">
        <v>60.37</v>
      </c>
      <c r="G252" s="220">
        <v>50.760000000000005</v>
      </c>
      <c r="H252" s="220">
        <v>43.52</v>
      </c>
      <c r="I252" s="220">
        <v>43.55</v>
      </c>
      <c r="J252" s="220">
        <v>50.15</v>
      </c>
      <c r="K252" s="220">
        <v>44.059999999999995</v>
      </c>
      <c r="L252" s="229">
        <v>198.93</v>
      </c>
      <c r="M252" s="220">
        <v>162.62</v>
      </c>
      <c r="N252" s="220">
        <v>174.92</v>
      </c>
      <c r="O252" s="220">
        <v>180.74</v>
      </c>
      <c r="P252" s="224">
        <v>186.23</v>
      </c>
      <c r="Q252" s="220">
        <v>48.6</v>
      </c>
      <c r="R252" s="220">
        <v>47.2</v>
      </c>
      <c r="S252" s="220">
        <v>64.099999999999994</v>
      </c>
      <c r="T252" s="220">
        <v>59.7</v>
      </c>
      <c r="U252" s="220">
        <v>65.7</v>
      </c>
      <c r="V252" s="229">
        <v>108.53</v>
      </c>
      <c r="W252" s="220">
        <v>60</v>
      </c>
      <c r="X252" s="220">
        <v>90.13</v>
      </c>
      <c r="Y252" s="220">
        <v>96.39</v>
      </c>
      <c r="Z252" s="224">
        <v>101.12</v>
      </c>
      <c r="AA252" s="363" t="s">
        <v>386</v>
      </c>
      <c r="AB252" s="363" t="s">
        <v>386</v>
      </c>
      <c r="AC252" s="363" t="s">
        <v>386</v>
      </c>
      <c r="AD252" s="363" t="s">
        <v>386</v>
      </c>
      <c r="AE252" s="363" t="s">
        <v>386</v>
      </c>
      <c r="AF252" s="229">
        <v>90</v>
      </c>
      <c r="AG252" s="220">
        <v>92.54</v>
      </c>
      <c r="AH252" s="220">
        <v>74.5</v>
      </c>
      <c r="AI252" s="220">
        <v>105.01</v>
      </c>
      <c r="AJ252" s="224">
        <v>71.02</v>
      </c>
      <c r="AK252" s="363" t="s">
        <v>386</v>
      </c>
      <c r="AL252" s="363" t="s">
        <v>386</v>
      </c>
      <c r="AM252" s="363" t="s">
        <v>386</v>
      </c>
      <c r="AN252" s="363" t="s">
        <v>386</v>
      </c>
      <c r="AO252" s="363" t="s">
        <v>386</v>
      </c>
      <c r="AP252" s="229">
        <v>2651.26</v>
      </c>
      <c r="AQ252" s="220">
        <v>2409.8599999999997</v>
      </c>
      <c r="AR252" s="220">
        <v>2874.97</v>
      </c>
      <c r="AS252" s="220">
        <v>2602.62</v>
      </c>
      <c r="AT252" s="224">
        <v>1973.12</v>
      </c>
      <c r="AU252" s="220">
        <v>2509.3000000000002</v>
      </c>
      <c r="AV252" s="220">
        <v>1413.6</v>
      </c>
      <c r="AW252" s="220">
        <v>2256.67</v>
      </c>
      <c r="AX252" s="220">
        <v>2506</v>
      </c>
      <c r="AY252" s="220">
        <v>2448.33</v>
      </c>
      <c r="AZ252" s="374" t="s">
        <v>386</v>
      </c>
      <c r="BA252" s="375" t="s">
        <v>386</v>
      </c>
      <c r="BB252" s="375" t="s">
        <v>386</v>
      </c>
      <c r="BC252" s="375" t="s">
        <v>386</v>
      </c>
      <c r="BD252" s="376" t="s">
        <v>386</v>
      </c>
      <c r="BE252" s="363" t="s">
        <v>386</v>
      </c>
      <c r="BF252" s="363" t="s">
        <v>386</v>
      </c>
      <c r="BG252" s="363" t="s">
        <v>386</v>
      </c>
      <c r="BH252" s="363" t="s">
        <v>386</v>
      </c>
      <c r="BI252" s="363" t="s">
        <v>386</v>
      </c>
      <c r="BJ252" s="374" t="s">
        <v>386</v>
      </c>
      <c r="BK252" s="375" t="s">
        <v>386</v>
      </c>
      <c r="BL252" s="375" t="s">
        <v>386</v>
      </c>
      <c r="BM252" s="375" t="s">
        <v>386</v>
      </c>
      <c r="BN252" s="376" t="s">
        <v>386</v>
      </c>
      <c r="BO252" s="375" t="s">
        <v>386</v>
      </c>
      <c r="BP252" s="375" t="s">
        <v>386</v>
      </c>
      <c r="BQ252" s="375" t="s">
        <v>386</v>
      </c>
      <c r="BR252" s="375" t="s">
        <v>386</v>
      </c>
      <c r="BS252" s="376" t="s">
        <v>386</v>
      </c>
      <c r="BT252" s="363" t="s">
        <v>386</v>
      </c>
      <c r="BU252" s="363" t="s">
        <v>386</v>
      </c>
      <c r="BV252" s="363" t="s">
        <v>386</v>
      </c>
      <c r="BW252" s="363" t="s">
        <v>386</v>
      </c>
      <c r="BX252" s="364" t="s">
        <v>386</v>
      </c>
      <c r="BY252" s="363" t="s">
        <v>386</v>
      </c>
      <c r="BZ252" s="363" t="s">
        <v>386</v>
      </c>
      <c r="CA252" s="363" t="s">
        <v>386</v>
      </c>
      <c r="CB252" s="363" t="s">
        <v>386</v>
      </c>
      <c r="CC252" s="363" t="s">
        <v>386</v>
      </c>
      <c r="CD252" s="374" t="s">
        <v>386</v>
      </c>
      <c r="CE252" s="375" t="s">
        <v>386</v>
      </c>
      <c r="CF252" s="375" t="s">
        <v>386</v>
      </c>
      <c r="CG252" s="375" t="s">
        <v>386</v>
      </c>
      <c r="CH252" s="376" t="s">
        <v>386</v>
      </c>
    </row>
    <row r="253" spans="1:86" x14ac:dyDescent="0.25">
      <c r="A253" s="223" t="s">
        <v>362</v>
      </c>
      <c r="B253" s="229">
        <v>53.95</v>
      </c>
      <c r="C253" s="220">
        <v>27.35</v>
      </c>
      <c r="D253" s="220">
        <v>25.4</v>
      </c>
      <c r="E253" s="220">
        <v>35.14</v>
      </c>
      <c r="F253" s="224">
        <v>57.11</v>
      </c>
      <c r="G253" s="220">
        <v>25.13</v>
      </c>
      <c r="H253" s="220">
        <v>24.8</v>
      </c>
      <c r="I253" s="220">
        <v>36.46</v>
      </c>
      <c r="J253" s="220">
        <v>36.25</v>
      </c>
      <c r="K253" s="220">
        <v>22.4</v>
      </c>
      <c r="L253" s="229">
        <v>92.19</v>
      </c>
      <c r="M253" s="220">
        <v>58</v>
      </c>
      <c r="N253" s="220">
        <v>58.56</v>
      </c>
      <c r="O253" s="220">
        <v>108.03</v>
      </c>
      <c r="P253" s="224">
        <v>95.55</v>
      </c>
      <c r="Q253" s="220">
        <v>38.5</v>
      </c>
      <c r="R253" s="220">
        <v>23.2</v>
      </c>
      <c r="S253" s="220">
        <v>64.099999999999994</v>
      </c>
      <c r="T253" s="220">
        <v>61.6</v>
      </c>
      <c r="U253" s="220">
        <v>62.5</v>
      </c>
      <c r="V253" s="229">
        <v>76.92</v>
      </c>
      <c r="W253" s="220">
        <v>41.6</v>
      </c>
      <c r="X253" s="220">
        <v>50.74</v>
      </c>
      <c r="Y253" s="220">
        <v>86</v>
      </c>
      <c r="Z253" s="224">
        <v>83.8</v>
      </c>
      <c r="AA253" s="363">
        <v>16.2</v>
      </c>
      <c r="AB253" s="363">
        <v>10.4</v>
      </c>
      <c r="AC253" s="363">
        <v>14.8</v>
      </c>
      <c r="AD253" s="363">
        <v>15.7</v>
      </c>
      <c r="AE253" s="363">
        <v>17.100000000000001</v>
      </c>
      <c r="AF253" s="229">
        <v>55.68</v>
      </c>
      <c r="AG253" s="220">
        <v>44.55</v>
      </c>
      <c r="AH253" s="220">
        <v>44.12</v>
      </c>
      <c r="AI253" s="220">
        <v>75.48</v>
      </c>
      <c r="AJ253" s="224">
        <v>80.489999999999995</v>
      </c>
      <c r="AK253" s="363">
        <v>1721</v>
      </c>
      <c r="AL253" s="363">
        <v>1455</v>
      </c>
      <c r="AM253" s="363">
        <v>2148.4499999999998</v>
      </c>
      <c r="AN253" s="363">
        <v>2213.44</v>
      </c>
      <c r="AO253" s="363">
        <v>1969.88</v>
      </c>
      <c r="AP253" s="229">
        <v>1636.78</v>
      </c>
      <c r="AQ253" s="220">
        <v>1131.82</v>
      </c>
      <c r="AR253" s="220">
        <v>1196.68</v>
      </c>
      <c r="AS253" s="220">
        <v>1141.6499999999999</v>
      </c>
      <c r="AT253" s="224">
        <v>1228.8</v>
      </c>
      <c r="AU253" s="220">
        <v>2379</v>
      </c>
      <c r="AV253" s="220">
        <v>711.2</v>
      </c>
      <c r="AW253" s="220">
        <v>1851</v>
      </c>
      <c r="AX253" s="220">
        <v>2249</v>
      </c>
      <c r="AY253" s="220">
        <v>2322</v>
      </c>
      <c r="AZ253" s="374" t="s">
        <v>386</v>
      </c>
      <c r="BA253" s="375" t="s">
        <v>386</v>
      </c>
      <c r="BB253" s="375" t="s">
        <v>386</v>
      </c>
      <c r="BC253" s="375" t="s">
        <v>386</v>
      </c>
      <c r="BD253" s="376" t="s">
        <v>386</v>
      </c>
      <c r="BE253" s="220">
        <v>1632.57</v>
      </c>
      <c r="BF253" s="220">
        <v>974.61</v>
      </c>
      <c r="BG253" s="220">
        <v>775.83</v>
      </c>
      <c r="BH253" s="220">
        <v>1121.0899999999999</v>
      </c>
      <c r="BI253" s="220">
        <v>968</v>
      </c>
      <c r="BJ253" s="374" t="s">
        <v>386</v>
      </c>
      <c r="BK253" s="375" t="s">
        <v>386</v>
      </c>
      <c r="BL253" s="375" t="s">
        <v>386</v>
      </c>
      <c r="BM253" s="375" t="s">
        <v>386</v>
      </c>
      <c r="BN253" s="376" t="s">
        <v>386</v>
      </c>
      <c r="BO253" s="375" t="s">
        <v>386</v>
      </c>
      <c r="BP253" s="375" t="s">
        <v>386</v>
      </c>
      <c r="BQ253" s="375" t="s">
        <v>386</v>
      </c>
      <c r="BR253" s="375" t="s">
        <v>386</v>
      </c>
      <c r="BS253" s="376" t="s">
        <v>386</v>
      </c>
      <c r="BT253" s="363" t="s">
        <v>386</v>
      </c>
      <c r="BU253" s="363" t="s">
        <v>386</v>
      </c>
      <c r="BV253" s="363" t="s">
        <v>386</v>
      </c>
      <c r="BW253" s="363" t="s">
        <v>386</v>
      </c>
      <c r="BX253" s="364" t="s">
        <v>386</v>
      </c>
      <c r="BY253" s="363">
        <v>2379</v>
      </c>
      <c r="BZ253" s="363">
        <v>681.6</v>
      </c>
      <c r="CA253" s="363">
        <v>1851</v>
      </c>
      <c r="CB253" s="363">
        <v>2249</v>
      </c>
      <c r="CC253" s="363">
        <v>2322</v>
      </c>
      <c r="CD253" s="229">
        <v>2379</v>
      </c>
      <c r="CE253" s="220">
        <v>929.6</v>
      </c>
      <c r="CF253" s="220">
        <v>1851</v>
      </c>
      <c r="CG253" s="220">
        <v>2249</v>
      </c>
      <c r="CH253" s="224">
        <v>2322</v>
      </c>
    </row>
    <row r="254" spans="1:86" x14ac:dyDescent="0.25">
      <c r="A254" s="223" t="s">
        <v>363</v>
      </c>
      <c r="B254" s="229">
        <v>70.11</v>
      </c>
      <c r="C254" s="220">
        <v>36.730000000000004</v>
      </c>
      <c r="D254" s="220">
        <v>58.050000000000004</v>
      </c>
      <c r="E254" s="220">
        <v>35.01</v>
      </c>
      <c r="F254" s="224">
        <v>74.319999999999993</v>
      </c>
      <c r="G254" s="220">
        <v>42.45</v>
      </c>
      <c r="H254" s="220">
        <v>30.05</v>
      </c>
      <c r="I254" s="220">
        <v>35.770000000000003</v>
      </c>
      <c r="J254" s="220">
        <v>39.020000000000003</v>
      </c>
      <c r="K254" s="220">
        <v>43.05</v>
      </c>
      <c r="L254" s="229">
        <v>154.22</v>
      </c>
      <c r="M254" s="220">
        <v>91.95</v>
      </c>
      <c r="N254" s="220">
        <v>130.41</v>
      </c>
      <c r="O254" s="220">
        <v>143.76</v>
      </c>
      <c r="P254" s="224">
        <v>170.75</v>
      </c>
      <c r="Q254" s="220">
        <v>50.7</v>
      </c>
      <c r="R254" s="220">
        <v>36</v>
      </c>
      <c r="S254" s="220">
        <v>67.900000000000006</v>
      </c>
      <c r="T254" s="220">
        <v>62.9</v>
      </c>
      <c r="U254" s="220">
        <v>73.2</v>
      </c>
      <c r="V254" s="229">
        <v>58.7</v>
      </c>
      <c r="W254" s="220">
        <v>53.6</v>
      </c>
      <c r="X254" s="220">
        <v>60</v>
      </c>
      <c r="Y254" s="220">
        <v>98.44</v>
      </c>
      <c r="Z254" s="224">
        <v>124.46</v>
      </c>
      <c r="AA254" s="363" t="s">
        <v>386</v>
      </c>
      <c r="AB254" s="363" t="s">
        <v>386</v>
      </c>
      <c r="AC254" s="363" t="s">
        <v>386</v>
      </c>
      <c r="AD254" s="363" t="s">
        <v>386</v>
      </c>
      <c r="AE254" s="363" t="s">
        <v>386</v>
      </c>
      <c r="AF254" s="229">
        <v>93.55</v>
      </c>
      <c r="AG254" s="220">
        <v>58.239999999999995</v>
      </c>
      <c r="AH254" s="220">
        <v>77.760000000000005</v>
      </c>
      <c r="AI254" s="220">
        <v>87.350000000000009</v>
      </c>
      <c r="AJ254" s="224">
        <v>88.66</v>
      </c>
      <c r="AK254" s="363" t="s">
        <v>386</v>
      </c>
      <c r="AL254" s="363" t="s">
        <v>386</v>
      </c>
      <c r="AM254" s="363" t="s">
        <v>386</v>
      </c>
      <c r="AN254" s="363" t="s">
        <v>386</v>
      </c>
      <c r="AO254" s="363" t="s">
        <v>386</v>
      </c>
      <c r="AP254" s="229">
        <v>2813.96</v>
      </c>
      <c r="AQ254" s="220">
        <v>2587.7799999999997</v>
      </c>
      <c r="AR254" s="220">
        <v>2495.54</v>
      </c>
      <c r="AS254" s="220">
        <v>1710.13</v>
      </c>
      <c r="AT254" s="224">
        <v>2328.94</v>
      </c>
      <c r="AU254" s="220">
        <v>2716</v>
      </c>
      <c r="AV254" s="220">
        <v>1466.4</v>
      </c>
      <c r="AW254" s="220">
        <v>1842</v>
      </c>
      <c r="AX254" s="220">
        <v>2198</v>
      </c>
      <c r="AY254" s="220">
        <v>2722.14</v>
      </c>
      <c r="AZ254" s="383">
        <v>2716</v>
      </c>
      <c r="BA254" s="384">
        <v>1276</v>
      </c>
      <c r="BB254" s="384">
        <v>1842</v>
      </c>
      <c r="BC254" s="384">
        <v>2198</v>
      </c>
      <c r="BD254" s="385">
        <v>2158</v>
      </c>
      <c r="BE254" s="363" t="s">
        <v>386</v>
      </c>
      <c r="BF254" s="363" t="s">
        <v>386</v>
      </c>
      <c r="BG254" s="363" t="s">
        <v>386</v>
      </c>
      <c r="BH254" s="363" t="s">
        <v>386</v>
      </c>
      <c r="BI254" s="363" t="s">
        <v>386</v>
      </c>
      <c r="BJ254" s="374" t="s">
        <v>386</v>
      </c>
      <c r="BK254" s="375" t="s">
        <v>386</v>
      </c>
      <c r="BL254" s="375" t="s">
        <v>386</v>
      </c>
      <c r="BM254" s="375" t="s">
        <v>386</v>
      </c>
      <c r="BN254" s="376" t="s">
        <v>386</v>
      </c>
      <c r="BO254" s="375" t="s">
        <v>386</v>
      </c>
      <c r="BP254" s="375" t="s">
        <v>386</v>
      </c>
      <c r="BQ254" s="375" t="s">
        <v>386</v>
      </c>
      <c r="BR254" s="375" t="s">
        <v>386</v>
      </c>
      <c r="BS254" s="376" t="s">
        <v>386</v>
      </c>
      <c r="BT254" s="220" t="s">
        <v>386</v>
      </c>
      <c r="BU254" s="220" t="s">
        <v>386</v>
      </c>
      <c r="BV254" s="220" t="s">
        <v>386</v>
      </c>
      <c r="BW254" s="220" t="s">
        <v>386</v>
      </c>
      <c r="BX254" s="224" t="s">
        <v>386</v>
      </c>
      <c r="BY254" s="220">
        <v>2716</v>
      </c>
      <c r="BZ254" s="220">
        <v>974.4</v>
      </c>
      <c r="CA254" s="220">
        <v>1842</v>
      </c>
      <c r="CB254" s="220">
        <v>2198</v>
      </c>
      <c r="CC254" s="220">
        <v>2158</v>
      </c>
      <c r="CD254" s="374" t="s">
        <v>386</v>
      </c>
      <c r="CE254" s="375" t="s">
        <v>386</v>
      </c>
      <c r="CF254" s="375" t="s">
        <v>386</v>
      </c>
      <c r="CG254" s="375" t="s">
        <v>386</v>
      </c>
      <c r="CH254" s="376" t="s">
        <v>386</v>
      </c>
    </row>
    <row r="255" spans="1:86" x14ac:dyDescent="0.25">
      <c r="A255" s="223" t="s">
        <v>364</v>
      </c>
      <c r="B255" s="229">
        <v>39.24</v>
      </c>
      <c r="C255" s="220">
        <v>36.1</v>
      </c>
      <c r="D255" s="220">
        <v>23.1</v>
      </c>
      <c r="E255" s="220">
        <v>28.040000000000003</v>
      </c>
      <c r="F255" s="224">
        <v>43.53</v>
      </c>
      <c r="G255" s="220">
        <v>41.8</v>
      </c>
      <c r="H255" s="220">
        <v>22.23</v>
      </c>
      <c r="I255" s="220">
        <v>22</v>
      </c>
      <c r="J255" s="220">
        <v>27.12</v>
      </c>
      <c r="K255" s="220">
        <v>21.6</v>
      </c>
      <c r="L255" s="229">
        <v>87.59</v>
      </c>
      <c r="M255" s="220">
        <v>54.95</v>
      </c>
      <c r="N255" s="220">
        <v>55.96</v>
      </c>
      <c r="O255" s="220">
        <v>106.38</v>
      </c>
      <c r="P255" s="224">
        <v>51.58</v>
      </c>
      <c r="Q255" s="220">
        <v>33.9</v>
      </c>
      <c r="R255" s="220">
        <v>24</v>
      </c>
      <c r="S255" s="220">
        <v>31</v>
      </c>
      <c r="T255" s="220">
        <v>40.700000000000003</v>
      </c>
      <c r="U255" s="220">
        <v>28.2</v>
      </c>
      <c r="V255" s="229">
        <v>97.2</v>
      </c>
      <c r="W255" s="220">
        <v>44.8</v>
      </c>
      <c r="X255" s="220">
        <v>69.7</v>
      </c>
      <c r="Y255" s="220">
        <v>80.7</v>
      </c>
      <c r="Z255" s="224">
        <v>85.7</v>
      </c>
      <c r="AA255" s="220">
        <v>17</v>
      </c>
      <c r="AB255" s="220">
        <v>10.4</v>
      </c>
      <c r="AC255" s="220">
        <v>15.3</v>
      </c>
      <c r="AD255" s="220">
        <v>15.7</v>
      </c>
      <c r="AE255" s="220">
        <v>17.100000000000001</v>
      </c>
      <c r="AF255" s="229">
        <v>71.240000000000009</v>
      </c>
      <c r="AG255" s="220">
        <v>44.75</v>
      </c>
      <c r="AH255" s="220">
        <v>38.36</v>
      </c>
      <c r="AI255" s="220">
        <v>70.58</v>
      </c>
      <c r="AJ255" s="224">
        <v>48.38</v>
      </c>
      <c r="AK255" s="363" t="s">
        <v>386</v>
      </c>
      <c r="AL255" s="363" t="s">
        <v>386</v>
      </c>
      <c r="AM255" s="363" t="s">
        <v>386</v>
      </c>
      <c r="AN255" s="363" t="s">
        <v>386</v>
      </c>
      <c r="AO255" s="363" t="s">
        <v>386</v>
      </c>
      <c r="AP255" s="229">
        <v>1554.02</v>
      </c>
      <c r="AQ255" s="220">
        <v>1201.94</v>
      </c>
      <c r="AR255" s="220">
        <v>1069.73</v>
      </c>
      <c r="AS255" s="220">
        <v>994.84</v>
      </c>
      <c r="AT255" s="224">
        <v>946.4</v>
      </c>
      <c r="AU255" s="220" t="s">
        <v>386</v>
      </c>
      <c r="AV255" s="220" t="s">
        <v>386</v>
      </c>
      <c r="AW255" s="220" t="s">
        <v>386</v>
      </c>
      <c r="AX255" s="220" t="s">
        <v>386</v>
      </c>
      <c r="AY255" s="220" t="s">
        <v>386</v>
      </c>
      <c r="AZ255" s="374" t="s">
        <v>386</v>
      </c>
      <c r="BA255" s="375" t="s">
        <v>386</v>
      </c>
      <c r="BB255" s="375" t="s">
        <v>386</v>
      </c>
      <c r="BC255" s="375" t="s">
        <v>386</v>
      </c>
      <c r="BD255" s="376" t="s">
        <v>386</v>
      </c>
      <c r="BE255" s="363" t="s">
        <v>386</v>
      </c>
      <c r="BF255" s="363" t="s">
        <v>386</v>
      </c>
      <c r="BG255" s="363" t="s">
        <v>386</v>
      </c>
      <c r="BH255" s="363" t="s">
        <v>386</v>
      </c>
      <c r="BI255" s="363" t="s">
        <v>386</v>
      </c>
      <c r="BJ255" s="374" t="s">
        <v>386</v>
      </c>
      <c r="BK255" s="375" t="s">
        <v>386</v>
      </c>
      <c r="BL255" s="375" t="s">
        <v>386</v>
      </c>
      <c r="BM255" s="375" t="s">
        <v>386</v>
      </c>
      <c r="BN255" s="376" t="s">
        <v>386</v>
      </c>
      <c r="BO255" s="375" t="s">
        <v>386</v>
      </c>
      <c r="BP255" s="375" t="s">
        <v>386</v>
      </c>
      <c r="BQ255" s="375" t="s">
        <v>386</v>
      </c>
      <c r="BR255" s="375" t="s">
        <v>386</v>
      </c>
      <c r="BS255" s="376" t="s">
        <v>386</v>
      </c>
      <c r="BT255" s="363" t="s">
        <v>386</v>
      </c>
      <c r="BU255" s="363" t="s">
        <v>386</v>
      </c>
      <c r="BV255" s="363" t="s">
        <v>386</v>
      </c>
      <c r="BW255" s="363" t="s">
        <v>386</v>
      </c>
      <c r="BX255" s="364" t="s">
        <v>386</v>
      </c>
      <c r="BY255" s="363" t="s">
        <v>386</v>
      </c>
      <c r="BZ255" s="363" t="s">
        <v>386</v>
      </c>
      <c r="CA255" s="363" t="s">
        <v>386</v>
      </c>
      <c r="CB255" s="363" t="s">
        <v>386</v>
      </c>
      <c r="CC255" s="363" t="s">
        <v>386</v>
      </c>
      <c r="CD255" s="374" t="s">
        <v>386</v>
      </c>
      <c r="CE255" s="375" t="s">
        <v>386</v>
      </c>
      <c r="CF255" s="375" t="s">
        <v>386</v>
      </c>
      <c r="CG255" s="375" t="s">
        <v>386</v>
      </c>
      <c r="CH255" s="376" t="s">
        <v>386</v>
      </c>
    </row>
    <row r="256" spans="1:86" x14ac:dyDescent="0.25">
      <c r="A256" s="223" t="s">
        <v>365</v>
      </c>
      <c r="B256" s="229">
        <v>65.320000000000007</v>
      </c>
      <c r="C256" s="220">
        <v>45.11</v>
      </c>
      <c r="D256" s="220">
        <v>52.07</v>
      </c>
      <c r="E256" s="220">
        <v>53.430000000000007</v>
      </c>
      <c r="F256" s="224">
        <v>71.040000000000006</v>
      </c>
      <c r="G256" s="220">
        <v>43.86</v>
      </c>
      <c r="H256" s="220">
        <v>30.45</v>
      </c>
      <c r="I256" s="220">
        <v>30.12</v>
      </c>
      <c r="J256" s="220">
        <v>38.160000000000004</v>
      </c>
      <c r="K256" s="220">
        <v>31.06</v>
      </c>
      <c r="L256" s="229">
        <v>136.86000000000001</v>
      </c>
      <c r="M256" s="220">
        <v>83.149999999999991</v>
      </c>
      <c r="N256" s="220">
        <v>81.88</v>
      </c>
      <c r="O256" s="220">
        <v>129.56</v>
      </c>
      <c r="P256" s="224">
        <v>90.87</v>
      </c>
      <c r="Q256" s="220">
        <v>40.5</v>
      </c>
      <c r="R256" s="220">
        <v>27.2</v>
      </c>
      <c r="S256" s="220">
        <v>35.799999999999997</v>
      </c>
      <c r="T256" s="220">
        <v>40.1</v>
      </c>
      <c r="U256" s="220">
        <v>29.4</v>
      </c>
      <c r="V256" s="229">
        <v>97.27</v>
      </c>
      <c r="W256" s="220">
        <v>63.2</v>
      </c>
      <c r="X256" s="220">
        <v>69.88</v>
      </c>
      <c r="Y256" s="220">
        <v>81.95</v>
      </c>
      <c r="Z256" s="224">
        <v>85.98</v>
      </c>
      <c r="AA256" s="363" t="s">
        <v>386</v>
      </c>
      <c r="AB256" s="363" t="s">
        <v>386</v>
      </c>
      <c r="AC256" s="363" t="s">
        <v>386</v>
      </c>
      <c r="AD256" s="363" t="s">
        <v>386</v>
      </c>
      <c r="AE256" s="363" t="s">
        <v>386</v>
      </c>
      <c r="AF256" s="229">
        <v>90.27</v>
      </c>
      <c r="AG256" s="220">
        <v>60.25</v>
      </c>
      <c r="AH256" s="220">
        <v>78.100000000000009</v>
      </c>
      <c r="AI256" s="220">
        <v>100.66999999999999</v>
      </c>
      <c r="AJ256" s="224">
        <v>76.06</v>
      </c>
      <c r="AK256" s="363" t="s">
        <v>386</v>
      </c>
      <c r="AL256" s="363" t="s">
        <v>386</v>
      </c>
      <c r="AM256" s="363" t="s">
        <v>386</v>
      </c>
      <c r="AN256" s="363" t="s">
        <v>386</v>
      </c>
      <c r="AO256" s="363" t="s">
        <v>386</v>
      </c>
      <c r="AP256" s="229">
        <v>2328.6200000000003</v>
      </c>
      <c r="AQ256" s="220">
        <v>1720.47</v>
      </c>
      <c r="AR256" s="220">
        <v>1608.22</v>
      </c>
      <c r="AS256" s="220">
        <v>2082.34</v>
      </c>
      <c r="AT256" s="224">
        <v>1334.7199999999998</v>
      </c>
      <c r="AU256" s="220">
        <v>2279</v>
      </c>
      <c r="AV256" s="220">
        <v>1268.8</v>
      </c>
      <c r="AW256" s="220">
        <v>1772</v>
      </c>
      <c r="AX256" s="220">
        <v>2566</v>
      </c>
      <c r="AY256" s="220">
        <v>2147</v>
      </c>
      <c r="AZ256" s="374" t="s">
        <v>386</v>
      </c>
      <c r="BA256" s="375" t="s">
        <v>386</v>
      </c>
      <c r="BB256" s="375" t="s">
        <v>386</v>
      </c>
      <c r="BC256" s="375" t="s">
        <v>386</v>
      </c>
      <c r="BD256" s="376" t="s">
        <v>386</v>
      </c>
      <c r="BE256" s="363" t="s">
        <v>386</v>
      </c>
      <c r="BF256" s="363" t="s">
        <v>386</v>
      </c>
      <c r="BG256" s="363" t="s">
        <v>386</v>
      </c>
      <c r="BH256" s="363" t="s">
        <v>386</v>
      </c>
      <c r="BI256" s="363" t="s">
        <v>386</v>
      </c>
      <c r="BJ256" s="374" t="s">
        <v>386</v>
      </c>
      <c r="BK256" s="375" t="s">
        <v>386</v>
      </c>
      <c r="BL256" s="375" t="s">
        <v>386</v>
      </c>
      <c r="BM256" s="375" t="s">
        <v>386</v>
      </c>
      <c r="BN256" s="376" t="s">
        <v>386</v>
      </c>
      <c r="BO256" s="375" t="s">
        <v>386</v>
      </c>
      <c r="BP256" s="375" t="s">
        <v>386</v>
      </c>
      <c r="BQ256" s="375" t="s">
        <v>386</v>
      </c>
      <c r="BR256" s="375" t="s">
        <v>386</v>
      </c>
      <c r="BS256" s="376" t="s">
        <v>386</v>
      </c>
      <c r="BT256" s="363" t="s">
        <v>386</v>
      </c>
      <c r="BU256" s="363" t="s">
        <v>386</v>
      </c>
      <c r="BV256" s="363" t="s">
        <v>386</v>
      </c>
      <c r="BW256" s="363" t="s">
        <v>386</v>
      </c>
      <c r="BX256" s="364" t="s">
        <v>386</v>
      </c>
      <c r="BY256" s="363" t="s">
        <v>386</v>
      </c>
      <c r="BZ256" s="363" t="s">
        <v>386</v>
      </c>
      <c r="CA256" s="363" t="s">
        <v>386</v>
      </c>
      <c r="CB256" s="363" t="s">
        <v>386</v>
      </c>
      <c r="CC256" s="363" t="s">
        <v>386</v>
      </c>
      <c r="CD256" s="374" t="s">
        <v>386</v>
      </c>
      <c r="CE256" s="375" t="s">
        <v>386</v>
      </c>
      <c r="CF256" s="375" t="s">
        <v>386</v>
      </c>
      <c r="CG256" s="375" t="s">
        <v>386</v>
      </c>
      <c r="CH256" s="376" t="s">
        <v>386</v>
      </c>
    </row>
    <row r="257" spans="1:86" x14ac:dyDescent="0.25">
      <c r="A257" s="223" t="s">
        <v>366</v>
      </c>
      <c r="B257" s="229">
        <v>60.9</v>
      </c>
      <c r="C257" s="220">
        <v>46.4</v>
      </c>
      <c r="D257" s="220">
        <v>59.87</v>
      </c>
      <c r="E257" s="220">
        <v>49.6</v>
      </c>
      <c r="F257" s="224">
        <v>81.02</v>
      </c>
      <c r="G257" s="220">
        <v>50.64</v>
      </c>
      <c r="H257" s="220">
        <v>47.99</v>
      </c>
      <c r="I257" s="220">
        <v>39.68</v>
      </c>
      <c r="J257" s="220">
        <v>46.47</v>
      </c>
      <c r="K257" s="220">
        <v>47.36</v>
      </c>
      <c r="L257" s="229">
        <v>188.63</v>
      </c>
      <c r="M257" s="220">
        <v>154.09</v>
      </c>
      <c r="N257" s="220">
        <v>133.84</v>
      </c>
      <c r="O257" s="220">
        <v>165.09</v>
      </c>
      <c r="P257" s="224">
        <v>175.76000000000002</v>
      </c>
      <c r="Q257" s="220">
        <v>42.3</v>
      </c>
      <c r="R257" s="220">
        <v>28</v>
      </c>
      <c r="S257" s="220">
        <v>46.5</v>
      </c>
      <c r="T257" s="220">
        <v>47.3</v>
      </c>
      <c r="U257" s="220">
        <v>41.8</v>
      </c>
      <c r="V257" s="229">
        <v>74.569999999999993</v>
      </c>
      <c r="W257" s="220">
        <v>79.55</v>
      </c>
      <c r="X257" s="220">
        <v>68.099999999999994</v>
      </c>
      <c r="Y257" s="220">
        <v>64</v>
      </c>
      <c r="Z257" s="224">
        <v>80.739999999999995</v>
      </c>
      <c r="AA257" s="220">
        <v>17</v>
      </c>
      <c r="AB257" s="220">
        <v>11.2</v>
      </c>
      <c r="AC257" s="220">
        <v>12.5</v>
      </c>
      <c r="AD257" s="220">
        <v>15.3</v>
      </c>
      <c r="AE257" s="220">
        <v>14.2</v>
      </c>
      <c r="AF257" s="229">
        <v>93.6</v>
      </c>
      <c r="AG257" s="220">
        <v>72.2</v>
      </c>
      <c r="AH257" s="220">
        <v>87</v>
      </c>
      <c r="AI257" s="220">
        <v>95.4</v>
      </c>
      <c r="AJ257" s="224">
        <v>97.4</v>
      </c>
      <c r="AK257" s="363" t="s">
        <v>386</v>
      </c>
      <c r="AL257" s="363" t="s">
        <v>386</v>
      </c>
      <c r="AM257" s="363" t="s">
        <v>386</v>
      </c>
      <c r="AN257" s="363" t="s">
        <v>386</v>
      </c>
      <c r="AO257" s="363" t="s">
        <v>386</v>
      </c>
      <c r="AP257" s="362" t="s">
        <v>386</v>
      </c>
      <c r="AQ257" s="363" t="s">
        <v>386</v>
      </c>
      <c r="AR257" s="363" t="s">
        <v>386</v>
      </c>
      <c r="AS257" s="363" t="s">
        <v>386</v>
      </c>
      <c r="AT257" s="364" t="s">
        <v>386</v>
      </c>
      <c r="AU257" s="220">
        <v>1600</v>
      </c>
      <c r="AV257" s="220">
        <v>1328</v>
      </c>
      <c r="AW257" s="220">
        <v>2140</v>
      </c>
      <c r="AX257" s="220">
        <v>2100</v>
      </c>
      <c r="AY257" s="220">
        <v>2457.69</v>
      </c>
      <c r="AZ257" s="374" t="s">
        <v>386</v>
      </c>
      <c r="BA257" s="375" t="s">
        <v>386</v>
      </c>
      <c r="BB257" s="375" t="s">
        <v>386</v>
      </c>
      <c r="BC257" s="375" t="s">
        <v>386</v>
      </c>
      <c r="BD257" s="376" t="s">
        <v>386</v>
      </c>
      <c r="BE257" s="363" t="s">
        <v>386</v>
      </c>
      <c r="BF257" s="363" t="s">
        <v>386</v>
      </c>
      <c r="BG257" s="363" t="s">
        <v>386</v>
      </c>
      <c r="BH257" s="363" t="s">
        <v>386</v>
      </c>
      <c r="BI257" s="363" t="s">
        <v>386</v>
      </c>
      <c r="BJ257" s="374" t="s">
        <v>386</v>
      </c>
      <c r="BK257" s="375" t="s">
        <v>386</v>
      </c>
      <c r="BL257" s="375" t="s">
        <v>386</v>
      </c>
      <c r="BM257" s="375" t="s">
        <v>386</v>
      </c>
      <c r="BN257" s="376" t="s">
        <v>386</v>
      </c>
      <c r="BO257" s="375" t="s">
        <v>386</v>
      </c>
      <c r="BP257" s="375" t="s">
        <v>386</v>
      </c>
      <c r="BQ257" s="375" t="s">
        <v>386</v>
      </c>
      <c r="BR257" s="375" t="s">
        <v>386</v>
      </c>
      <c r="BS257" s="376" t="s">
        <v>386</v>
      </c>
      <c r="BT257" s="363" t="s">
        <v>386</v>
      </c>
      <c r="BU257" s="363" t="s">
        <v>386</v>
      </c>
      <c r="BV257" s="363" t="s">
        <v>386</v>
      </c>
      <c r="BW257" s="363" t="s">
        <v>386</v>
      </c>
      <c r="BX257" s="364" t="s">
        <v>386</v>
      </c>
      <c r="BY257" s="363" t="s">
        <v>386</v>
      </c>
      <c r="BZ257" s="363" t="s">
        <v>386</v>
      </c>
      <c r="CA257" s="363" t="s">
        <v>386</v>
      </c>
      <c r="CB257" s="363" t="s">
        <v>386</v>
      </c>
      <c r="CC257" s="363" t="s">
        <v>386</v>
      </c>
      <c r="CD257" s="374" t="s">
        <v>386</v>
      </c>
      <c r="CE257" s="375" t="s">
        <v>386</v>
      </c>
      <c r="CF257" s="375" t="s">
        <v>386</v>
      </c>
      <c r="CG257" s="375" t="s">
        <v>386</v>
      </c>
      <c r="CH257" s="376" t="s">
        <v>386</v>
      </c>
    </row>
    <row r="258" spans="1:86" x14ac:dyDescent="0.25">
      <c r="A258" s="223" t="s">
        <v>367</v>
      </c>
      <c r="B258" s="229">
        <v>58.5</v>
      </c>
      <c r="C258" s="220">
        <v>43.2</v>
      </c>
      <c r="D258" s="220">
        <v>58.9</v>
      </c>
      <c r="E258" s="220">
        <v>44</v>
      </c>
      <c r="F258" s="224">
        <v>77.3</v>
      </c>
      <c r="G258" s="220">
        <v>55.769999999999996</v>
      </c>
      <c r="H258" s="220">
        <v>61.28</v>
      </c>
      <c r="I258" s="220">
        <v>41.57</v>
      </c>
      <c r="J258" s="220">
        <v>52.97</v>
      </c>
      <c r="K258" s="220">
        <v>46.68</v>
      </c>
      <c r="L258" s="229">
        <v>199.6</v>
      </c>
      <c r="M258" s="220">
        <v>199.21</v>
      </c>
      <c r="N258" s="220">
        <v>142</v>
      </c>
      <c r="O258" s="220">
        <v>188.44</v>
      </c>
      <c r="P258" s="224">
        <v>176.23</v>
      </c>
      <c r="Q258" s="220">
        <v>42.3</v>
      </c>
      <c r="R258" s="220">
        <v>40</v>
      </c>
      <c r="S258" s="220">
        <v>46.5</v>
      </c>
      <c r="T258" s="220">
        <v>47.3</v>
      </c>
      <c r="U258" s="220">
        <v>41.8</v>
      </c>
      <c r="V258" s="229">
        <v>72</v>
      </c>
      <c r="W258" s="220">
        <v>61.6</v>
      </c>
      <c r="X258" s="220">
        <v>65.7</v>
      </c>
      <c r="Y258" s="220">
        <v>62.4</v>
      </c>
      <c r="Z258" s="224">
        <v>88.7</v>
      </c>
      <c r="AA258" s="363" t="s">
        <v>386</v>
      </c>
      <c r="AB258" s="363" t="s">
        <v>386</v>
      </c>
      <c r="AC258" s="363" t="s">
        <v>386</v>
      </c>
      <c r="AD258" s="363" t="s">
        <v>386</v>
      </c>
      <c r="AE258" s="363" t="s">
        <v>386</v>
      </c>
      <c r="AF258" s="229">
        <v>74</v>
      </c>
      <c r="AG258" s="220">
        <v>60</v>
      </c>
      <c r="AH258" s="220">
        <v>62.9</v>
      </c>
      <c r="AI258" s="220">
        <v>82.9</v>
      </c>
      <c r="AJ258" s="224">
        <v>79.099999999999994</v>
      </c>
      <c r="AK258" s="363" t="s">
        <v>386</v>
      </c>
      <c r="AL258" s="363" t="s">
        <v>386</v>
      </c>
      <c r="AM258" s="363" t="s">
        <v>386</v>
      </c>
      <c r="AN258" s="363" t="s">
        <v>386</v>
      </c>
      <c r="AO258" s="363" t="s">
        <v>386</v>
      </c>
      <c r="AP258" s="362" t="s">
        <v>386</v>
      </c>
      <c r="AQ258" s="363" t="s">
        <v>386</v>
      </c>
      <c r="AR258" s="363" t="s">
        <v>386</v>
      </c>
      <c r="AS258" s="363" t="s">
        <v>386</v>
      </c>
      <c r="AT258" s="364" t="s">
        <v>386</v>
      </c>
      <c r="AU258" s="363" t="s">
        <v>386</v>
      </c>
      <c r="AV258" s="363" t="s">
        <v>386</v>
      </c>
      <c r="AW258" s="363" t="s">
        <v>386</v>
      </c>
      <c r="AX258" s="363" t="s">
        <v>386</v>
      </c>
      <c r="AY258" s="363" t="s">
        <v>386</v>
      </c>
      <c r="AZ258" s="374" t="s">
        <v>386</v>
      </c>
      <c r="BA258" s="375" t="s">
        <v>386</v>
      </c>
      <c r="BB258" s="375" t="s">
        <v>386</v>
      </c>
      <c r="BC258" s="375" t="s">
        <v>386</v>
      </c>
      <c r="BD258" s="376" t="s">
        <v>386</v>
      </c>
      <c r="BE258" s="363" t="s">
        <v>386</v>
      </c>
      <c r="BF258" s="363" t="s">
        <v>386</v>
      </c>
      <c r="BG258" s="363" t="s">
        <v>386</v>
      </c>
      <c r="BH258" s="363" t="s">
        <v>386</v>
      </c>
      <c r="BI258" s="363" t="s">
        <v>386</v>
      </c>
      <c r="BJ258" s="374" t="s">
        <v>386</v>
      </c>
      <c r="BK258" s="375" t="s">
        <v>386</v>
      </c>
      <c r="BL258" s="375" t="s">
        <v>386</v>
      </c>
      <c r="BM258" s="375" t="s">
        <v>386</v>
      </c>
      <c r="BN258" s="376" t="s">
        <v>386</v>
      </c>
      <c r="BO258" s="375" t="s">
        <v>386</v>
      </c>
      <c r="BP258" s="375" t="s">
        <v>386</v>
      </c>
      <c r="BQ258" s="375" t="s">
        <v>386</v>
      </c>
      <c r="BR258" s="375" t="s">
        <v>386</v>
      </c>
      <c r="BS258" s="376" t="s">
        <v>386</v>
      </c>
      <c r="BT258" s="363" t="s">
        <v>386</v>
      </c>
      <c r="BU258" s="363" t="s">
        <v>386</v>
      </c>
      <c r="BV258" s="363" t="s">
        <v>386</v>
      </c>
      <c r="BW258" s="363" t="s">
        <v>386</v>
      </c>
      <c r="BX258" s="364" t="s">
        <v>386</v>
      </c>
      <c r="BY258" s="363" t="s">
        <v>386</v>
      </c>
      <c r="BZ258" s="363" t="s">
        <v>386</v>
      </c>
      <c r="CA258" s="363" t="s">
        <v>386</v>
      </c>
      <c r="CB258" s="363" t="s">
        <v>386</v>
      </c>
      <c r="CC258" s="363" t="s">
        <v>386</v>
      </c>
      <c r="CD258" s="374" t="s">
        <v>386</v>
      </c>
      <c r="CE258" s="375" t="s">
        <v>386</v>
      </c>
      <c r="CF258" s="375" t="s">
        <v>386</v>
      </c>
      <c r="CG258" s="375" t="s">
        <v>386</v>
      </c>
      <c r="CH258" s="376" t="s">
        <v>386</v>
      </c>
    </row>
    <row r="259" spans="1:86" x14ac:dyDescent="0.25">
      <c r="A259" s="223" t="s">
        <v>368</v>
      </c>
      <c r="B259" s="229">
        <v>62.150000000000006</v>
      </c>
      <c r="C259" s="220">
        <v>43.5</v>
      </c>
      <c r="D259" s="220">
        <v>66.070000000000007</v>
      </c>
      <c r="E259" s="220">
        <v>55.29</v>
      </c>
      <c r="F259" s="224">
        <v>71.600000000000009</v>
      </c>
      <c r="G259" s="220">
        <v>39.800000000000004</v>
      </c>
      <c r="H259" s="220">
        <v>33.1</v>
      </c>
      <c r="I259" s="220">
        <v>40.89</v>
      </c>
      <c r="J259" s="220">
        <v>50.879999999999995</v>
      </c>
      <c r="K259" s="220">
        <v>41.11</v>
      </c>
      <c r="L259" s="229">
        <v>163.59</v>
      </c>
      <c r="M259" s="220">
        <v>118.35</v>
      </c>
      <c r="N259" s="220">
        <v>154.07999999999998</v>
      </c>
      <c r="O259" s="220">
        <v>186.93</v>
      </c>
      <c r="P259" s="224">
        <v>166.93</v>
      </c>
      <c r="Q259" s="220">
        <v>54</v>
      </c>
      <c r="R259" s="220">
        <v>41.6</v>
      </c>
      <c r="S259" s="220">
        <v>53.7</v>
      </c>
      <c r="T259" s="220">
        <v>48.3</v>
      </c>
      <c r="U259" s="220">
        <v>61.3</v>
      </c>
      <c r="V259" s="229">
        <v>85.7</v>
      </c>
      <c r="W259" s="220">
        <v>72.8</v>
      </c>
      <c r="X259" s="220">
        <v>95.49</v>
      </c>
      <c r="Y259" s="220">
        <v>74.31</v>
      </c>
      <c r="Z259" s="224">
        <v>106.89</v>
      </c>
      <c r="AA259" s="220">
        <v>17.100000000000001</v>
      </c>
      <c r="AB259" s="220">
        <v>7.2</v>
      </c>
      <c r="AC259" s="220">
        <v>16.399999999999999</v>
      </c>
      <c r="AD259" s="220">
        <v>15.5</v>
      </c>
      <c r="AE259" s="220">
        <v>17.100000000000001</v>
      </c>
      <c r="AF259" s="229">
        <v>55.2</v>
      </c>
      <c r="AG259" s="220">
        <v>43.2</v>
      </c>
      <c r="AH259" s="220">
        <v>43.2</v>
      </c>
      <c r="AI259" s="220">
        <v>49.5</v>
      </c>
      <c r="AJ259" s="224">
        <v>66.8</v>
      </c>
      <c r="AK259" s="363" t="s">
        <v>386</v>
      </c>
      <c r="AL259" s="363" t="s">
        <v>386</v>
      </c>
      <c r="AM259" s="363" t="s">
        <v>386</v>
      </c>
      <c r="AN259" s="363" t="s">
        <v>386</v>
      </c>
      <c r="AO259" s="363" t="s">
        <v>386</v>
      </c>
      <c r="AP259" s="229">
        <v>2592.6800000000003</v>
      </c>
      <c r="AQ259" s="220">
        <v>2375.7399999999998</v>
      </c>
      <c r="AR259" s="220">
        <v>2275.25</v>
      </c>
      <c r="AS259" s="220">
        <v>2517.87</v>
      </c>
      <c r="AT259" s="224">
        <v>1680.08</v>
      </c>
      <c r="AU259" s="220">
        <v>1912</v>
      </c>
      <c r="AV259" s="220">
        <v>1912</v>
      </c>
      <c r="AW259" s="220">
        <v>1829</v>
      </c>
      <c r="AX259" s="220">
        <v>1964</v>
      </c>
      <c r="AY259" s="220">
        <v>1757.6</v>
      </c>
      <c r="AZ259" s="229">
        <v>1664</v>
      </c>
      <c r="BA259" s="220">
        <v>1663.2</v>
      </c>
      <c r="BB259" s="220">
        <v>1829</v>
      </c>
      <c r="BC259" s="220">
        <v>1964</v>
      </c>
      <c r="BD259" s="224">
        <v>1663.2</v>
      </c>
      <c r="BE259" s="363" t="s">
        <v>386</v>
      </c>
      <c r="BF259" s="363" t="s">
        <v>386</v>
      </c>
      <c r="BG259" s="363" t="s">
        <v>386</v>
      </c>
      <c r="BH259" s="363" t="s">
        <v>386</v>
      </c>
      <c r="BI259" s="363" t="s">
        <v>386</v>
      </c>
      <c r="BJ259" s="374" t="s">
        <v>386</v>
      </c>
      <c r="BK259" s="375" t="s">
        <v>386</v>
      </c>
      <c r="BL259" s="375" t="s">
        <v>386</v>
      </c>
      <c r="BM259" s="375" t="s">
        <v>386</v>
      </c>
      <c r="BN259" s="376" t="s">
        <v>386</v>
      </c>
      <c r="BO259" s="375" t="s">
        <v>386</v>
      </c>
      <c r="BP259" s="375" t="s">
        <v>386</v>
      </c>
      <c r="BQ259" s="375" t="s">
        <v>386</v>
      </c>
      <c r="BR259" s="375" t="s">
        <v>386</v>
      </c>
      <c r="BS259" s="376" t="s">
        <v>386</v>
      </c>
      <c r="BT259" s="220" t="s">
        <v>386</v>
      </c>
      <c r="BU259" s="220" t="s">
        <v>386</v>
      </c>
      <c r="BV259" s="220" t="s">
        <v>386</v>
      </c>
      <c r="BW259" s="220" t="s">
        <v>386</v>
      </c>
      <c r="BX259" s="224" t="s">
        <v>386</v>
      </c>
      <c r="BY259" s="220">
        <v>1986.5</v>
      </c>
      <c r="BZ259" s="220">
        <v>859</v>
      </c>
      <c r="CA259" s="220">
        <v>1569.5</v>
      </c>
      <c r="CB259" s="220">
        <v>2225</v>
      </c>
      <c r="CC259" s="220">
        <v>1929.33</v>
      </c>
      <c r="CD259" s="374" t="s">
        <v>386</v>
      </c>
      <c r="CE259" s="375" t="s">
        <v>386</v>
      </c>
      <c r="CF259" s="375" t="s">
        <v>386</v>
      </c>
      <c r="CG259" s="375" t="s">
        <v>386</v>
      </c>
      <c r="CH259" s="376" t="s">
        <v>386</v>
      </c>
    </row>
    <row r="260" spans="1:86" x14ac:dyDescent="0.25">
      <c r="A260" s="223" t="s">
        <v>369</v>
      </c>
      <c r="B260" s="229">
        <v>53.85</v>
      </c>
      <c r="C260" s="220">
        <v>44.85</v>
      </c>
      <c r="D260" s="220">
        <v>48.25</v>
      </c>
      <c r="E260" s="220">
        <v>46.75</v>
      </c>
      <c r="F260" s="224">
        <v>76.19</v>
      </c>
      <c r="G260" s="220">
        <v>47.19</v>
      </c>
      <c r="H260" s="220">
        <v>40.200000000000003</v>
      </c>
      <c r="I260" s="220">
        <v>39.68</v>
      </c>
      <c r="J260" s="220">
        <v>46.910000000000004</v>
      </c>
      <c r="K260" s="220">
        <v>45.18</v>
      </c>
      <c r="L260" s="229">
        <v>176.17000000000002</v>
      </c>
      <c r="M260" s="220">
        <v>129.35</v>
      </c>
      <c r="N260" s="220">
        <v>127.16000000000001</v>
      </c>
      <c r="O260" s="220">
        <v>175.69</v>
      </c>
      <c r="P260" s="224">
        <v>174.72</v>
      </c>
      <c r="Q260" s="220">
        <v>42.3</v>
      </c>
      <c r="R260" s="220">
        <v>40.799999999999997</v>
      </c>
      <c r="S260" s="220">
        <v>46.5</v>
      </c>
      <c r="T260" s="220">
        <v>47.3</v>
      </c>
      <c r="U260" s="220">
        <v>41.8</v>
      </c>
      <c r="V260" s="229">
        <v>89.33</v>
      </c>
      <c r="W260" s="220">
        <v>60.8</v>
      </c>
      <c r="X260" s="220">
        <v>62.43</v>
      </c>
      <c r="Y260" s="220">
        <v>60.8</v>
      </c>
      <c r="Z260" s="224">
        <v>81.7</v>
      </c>
      <c r="AA260" s="363" t="s">
        <v>386</v>
      </c>
      <c r="AB260" s="363" t="s">
        <v>386</v>
      </c>
      <c r="AC260" s="363" t="s">
        <v>386</v>
      </c>
      <c r="AD260" s="363" t="s">
        <v>386</v>
      </c>
      <c r="AE260" s="363" t="s">
        <v>386</v>
      </c>
      <c r="AF260" s="229">
        <v>93.7</v>
      </c>
      <c r="AG260" s="220">
        <v>72</v>
      </c>
      <c r="AH260" s="220">
        <v>87</v>
      </c>
      <c r="AI260" s="220">
        <v>95.3</v>
      </c>
      <c r="AJ260" s="224">
        <v>97.3</v>
      </c>
      <c r="AK260" s="363" t="s">
        <v>386</v>
      </c>
      <c r="AL260" s="363" t="s">
        <v>386</v>
      </c>
      <c r="AM260" s="363" t="s">
        <v>386</v>
      </c>
      <c r="AN260" s="363" t="s">
        <v>386</v>
      </c>
      <c r="AO260" s="363" t="s">
        <v>386</v>
      </c>
      <c r="AP260" s="362" t="s">
        <v>386</v>
      </c>
      <c r="AQ260" s="363" t="s">
        <v>386</v>
      </c>
      <c r="AR260" s="363" t="s">
        <v>386</v>
      </c>
      <c r="AS260" s="363" t="s">
        <v>386</v>
      </c>
      <c r="AT260" s="364" t="s">
        <v>386</v>
      </c>
      <c r="AU260" s="363" t="s">
        <v>386</v>
      </c>
      <c r="AV260" s="363" t="s">
        <v>386</v>
      </c>
      <c r="AW260" s="363" t="s">
        <v>386</v>
      </c>
      <c r="AX260" s="363" t="s">
        <v>386</v>
      </c>
      <c r="AY260" s="363" t="s">
        <v>386</v>
      </c>
      <c r="AZ260" s="374" t="s">
        <v>386</v>
      </c>
      <c r="BA260" s="375" t="s">
        <v>386</v>
      </c>
      <c r="BB260" s="375" t="s">
        <v>386</v>
      </c>
      <c r="BC260" s="375" t="s">
        <v>386</v>
      </c>
      <c r="BD260" s="376" t="s">
        <v>386</v>
      </c>
      <c r="BE260" s="363" t="s">
        <v>386</v>
      </c>
      <c r="BF260" s="363" t="s">
        <v>386</v>
      </c>
      <c r="BG260" s="363" t="s">
        <v>386</v>
      </c>
      <c r="BH260" s="363" t="s">
        <v>386</v>
      </c>
      <c r="BI260" s="363" t="s">
        <v>386</v>
      </c>
      <c r="BJ260" s="374" t="s">
        <v>386</v>
      </c>
      <c r="BK260" s="375" t="s">
        <v>386</v>
      </c>
      <c r="BL260" s="375" t="s">
        <v>386</v>
      </c>
      <c r="BM260" s="375" t="s">
        <v>386</v>
      </c>
      <c r="BN260" s="376" t="s">
        <v>386</v>
      </c>
      <c r="BO260" s="375" t="s">
        <v>386</v>
      </c>
      <c r="BP260" s="375" t="s">
        <v>386</v>
      </c>
      <c r="BQ260" s="375" t="s">
        <v>386</v>
      </c>
      <c r="BR260" s="375" t="s">
        <v>386</v>
      </c>
      <c r="BS260" s="376" t="s">
        <v>386</v>
      </c>
      <c r="BT260" s="363" t="s">
        <v>386</v>
      </c>
      <c r="BU260" s="363" t="s">
        <v>386</v>
      </c>
      <c r="BV260" s="363" t="s">
        <v>386</v>
      </c>
      <c r="BW260" s="363" t="s">
        <v>386</v>
      </c>
      <c r="BX260" s="364" t="s">
        <v>386</v>
      </c>
      <c r="BY260" s="363" t="s">
        <v>386</v>
      </c>
      <c r="BZ260" s="363" t="s">
        <v>386</v>
      </c>
      <c r="CA260" s="363" t="s">
        <v>386</v>
      </c>
      <c r="CB260" s="363" t="s">
        <v>386</v>
      </c>
      <c r="CC260" s="363" t="s">
        <v>386</v>
      </c>
      <c r="CD260" s="374" t="s">
        <v>386</v>
      </c>
      <c r="CE260" s="375" t="s">
        <v>386</v>
      </c>
      <c r="CF260" s="375" t="s">
        <v>386</v>
      </c>
      <c r="CG260" s="375" t="s">
        <v>386</v>
      </c>
      <c r="CH260" s="376" t="s">
        <v>386</v>
      </c>
    </row>
    <row r="261" spans="1:86" ht="15.75" thickBot="1" x14ac:dyDescent="0.3">
      <c r="A261" s="225" t="s">
        <v>370</v>
      </c>
      <c r="B261" s="230">
        <v>44.550000000000004</v>
      </c>
      <c r="C261" s="226">
        <v>27.56</v>
      </c>
      <c r="D261" s="226">
        <v>33.03</v>
      </c>
      <c r="E261" s="226">
        <v>26.77</v>
      </c>
      <c r="F261" s="231">
        <v>52.63</v>
      </c>
      <c r="G261" s="226">
        <v>23.32</v>
      </c>
      <c r="H261" s="226">
        <v>18.84</v>
      </c>
      <c r="I261" s="226">
        <v>25.86</v>
      </c>
      <c r="J261" s="226">
        <v>36.299999999999997</v>
      </c>
      <c r="K261" s="226">
        <v>25.79</v>
      </c>
      <c r="L261" s="230">
        <v>88.98</v>
      </c>
      <c r="M261" s="226">
        <v>64.7</v>
      </c>
      <c r="N261" s="226">
        <v>63.12</v>
      </c>
      <c r="O261" s="226">
        <v>75.47999999999999</v>
      </c>
      <c r="P261" s="231">
        <v>90.039999999999992</v>
      </c>
      <c r="Q261" s="226">
        <v>37.799999999999997</v>
      </c>
      <c r="R261" s="226">
        <v>18.399999999999999</v>
      </c>
      <c r="S261" s="226">
        <v>65.2</v>
      </c>
      <c r="T261" s="226">
        <v>64.099999999999994</v>
      </c>
      <c r="U261" s="226">
        <v>65</v>
      </c>
      <c r="V261" s="230">
        <v>60.69</v>
      </c>
      <c r="W261" s="226">
        <v>40</v>
      </c>
      <c r="X261" s="226">
        <v>45.48</v>
      </c>
      <c r="Y261" s="226">
        <v>53.99</v>
      </c>
      <c r="Z261" s="231">
        <v>82.82</v>
      </c>
      <c r="AA261" s="226">
        <v>16.600000000000001</v>
      </c>
      <c r="AB261" s="226">
        <v>8</v>
      </c>
      <c r="AC261" s="226">
        <v>15.7</v>
      </c>
      <c r="AD261" s="226">
        <v>15.7</v>
      </c>
      <c r="AE261" s="226">
        <v>17.899999999999999</v>
      </c>
      <c r="AF261" s="230">
        <v>63.8</v>
      </c>
      <c r="AG261" s="226">
        <v>38.11</v>
      </c>
      <c r="AH261" s="226">
        <v>18.399999999999999</v>
      </c>
      <c r="AI261" s="226">
        <v>45.03</v>
      </c>
      <c r="AJ261" s="231">
        <v>40.700000000000003</v>
      </c>
      <c r="AK261" s="366" t="s">
        <v>386</v>
      </c>
      <c r="AL261" s="366" t="s">
        <v>386</v>
      </c>
      <c r="AM261" s="366" t="s">
        <v>386</v>
      </c>
      <c r="AN261" s="366" t="s">
        <v>386</v>
      </c>
      <c r="AO261" s="366" t="s">
        <v>386</v>
      </c>
      <c r="AP261" s="230">
        <v>1457.13</v>
      </c>
      <c r="AQ261" s="226">
        <v>1307.49</v>
      </c>
      <c r="AR261" s="226">
        <v>1023.2</v>
      </c>
      <c r="AS261" s="226">
        <v>1023.2</v>
      </c>
      <c r="AT261" s="231">
        <v>1682.29</v>
      </c>
      <c r="AU261" s="226">
        <v>2150</v>
      </c>
      <c r="AV261" s="226">
        <v>786.4</v>
      </c>
      <c r="AW261" s="226">
        <v>1329</v>
      </c>
      <c r="AX261" s="226">
        <v>2212</v>
      </c>
      <c r="AY261" s="226">
        <v>1520</v>
      </c>
      <c r="AZ261" s="377" t="s">
        <v>386</v>
      </c>
      <c r="BA261" s="378" t="s">
        <v>386</v>
      </c>
      <c r="BB261" s="378" t="s">
        <v>386</v>
      </c>
      <c r="BC261" s="378" t="s">
        <v>386</v>
      </c>
      <c r="BD261" s="379" t="s">
        <v>386</v>
      </c>
      <c r="BE261" s="226">
        <v>1073.58</v>
      </c>
      <c r="BF261" s="226">
        <v>872.17</v>
      </c>
      <c r="BG261" s="226">
        <v>822.59</v>
      </c>
      <c r="BH261" s="226">
        <v>1079.3599999999999</v>
      </c>
      <c r="BI261" s="226">
        <v>1017.51</v>
      </c>
      <c r="BJ261" s="377" t="s">
        <v>386</v>
      </c>
      <c r="BK261" s="378" t="s">
        <v>386</v>
      </c>
      <c r="BL261" s="378" t="s">
        <v>386</v>
      </c>
      <c r="BM261" s="378" t="s">
        <v>386</v>
      </c>
      <c r="BN261" s="379" t="s">
        <v>386</v>
      </c>
      <c r="BO261" s="378" t="s">
        <v>386</v>
      </c>
      <c r="BP261" s="378" t="s">
        <v>386</v>
      </c>
      <c r="BQ261" s="378" t="s">
        <v>386</v>
      </c>
      <c r="BR261" s="378" t="s">
        <v>386</v>
      </c>
      <c r="BS261" s="379" t="s">
        <v>386</v>
      </c>
      <c r="BT261" s="366" t="s">
        <v>386</v>
      </c>
      <c r="BU261" s="366" t="s">
        <v>386</v>
      </c>
      <c r="BV261" s="366" t="s">
        <v>386</v>
      </c>
      <c r="BW261" s="366" t="s">
        <v>386</v>
      </c>
      <c r="BX261" s="367" t="s">
        <v>386</v>
      </c>
      <c r="BY261" s="366" t="s">
        <v>386</v>
      </c>
      <c r="BZ261" s="366" t="s">
        <v>386</v>
      </c>
      <c r="CA261" s="366" t="s">
        <v>386</v>
      </c>
      <c r="CB261" s="366" t="s">
        <v>386</v>
      </c>
      <c r="CC261" s="366" t="s">
        <v>386</v>
      </c>
      <c r="CD261" s="389">
        <v>2150</v>
      </c>
      <c r="CE261" s="390">
        <v>758</v>
      </c>
      <c r="CF261" s="390">
        <v>1329</v>
      </c>
      <c r="CG261" s="390">
        <v>2212</v>
      </c>
      <c r="CH261" s="391">
        <v>1520</v>
      </c>
    </row>
  </sheetData>
  <sheetProtection algorithmName="SHA-512" hashValue="cayc4WtZi67SeNbeLg3imXUYRus9eEw+IVwcPVGhZP5b9jixCCScLvJekzNVwaPvLkqtf6IqOZQ1stwEwOy5LA==" saltValue="jMsx3Q/7NZLOb6Fe34xsDw==" spinCount="100000" sheet="1" objects="1" scenarios="1"/>
  <dataValidations count="2">
    <dataValidation type="decimal" operator="greaterThan" allowBlank="1" showInputMessage="1" showErrorMessage="1" sqref="Y4:Z56 D4:F56 H4:J56 L4:N56 AC4:AJ56 Q4:R56 U4:V56" xr:uid="{00000000-0002-0000-0300-000000000000}">
      <formula1>0.1</formula1>
    </dataValidation>
    <dataValidation type="whole" operator="greaterThan" allowBlank="1" showInputMessage="1" showErrorMessage="1" sqref="BG4:BI56 BK4:BM56 AL4:AN56 AP4:AR56 BC4:BD56 BY4:CA56 AU4:AV56 AY4:AZ56 CB39:CH39 BT4:BV56 BW39:BX39" xr:uid="{00000000-0002-0000-0300-000001000000}">
      <formula1>0</formula1>
    </dataValidation>
  </dataValidations>
  <pageMargins left="0.7" right="0.7" top="0.75" bottom="0.75" header="0.3" footer="0.3"/>
  <pageSetup scale="12" fitToHeight="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Prog</vt:lpstr>
      <vt:lpstr>BM Ylds</vt:lpstr>
      <vt:lpstr>2015 Co. Ylds</vt:lpstr>
      <vt:lpstr>2020-2024 Ylds</vt:lpstr>
      <vt:lpstr>BMYld</vt:lpstr>
      <vt:lpstr>CoYld</vt:lpstr>
      <vt:lpstr>MN</vt:lpstr>
      <vt:lpstr>MT</vt:lpstr>
      <vt:lpstr>ND</vt:lpstr>
      <vt:lpstr>Prog!Print_Area</vt:lpstr>
      <vt:lpstr>SD</vt:lpstr>
      <vt:lpstr>Yld2018</vt:lpstr>
    </vt:vector>
  </TitlesOfParts>
  <Company>North Dakota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Swenson</dc:creator>
  <cp:lastModifiedBy>Haugen, Ronald</cp:lastModifiedBy>
  <cp:lastPrinted>2026-02-03T20:05:22Z</cp:lastPrinted>
  <dcterms:created xsi:type="dcterms:W3CDTF">2014-02-28T16:04:24Z</dcterms:created>
  <dcterms:modified xsi:type="dcterms:W3CDTF">2026-02-04T06:42:50Z</dcterms:modified>
</cp:coreProperties>
</file>