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Bred Heifer Calculator\"/>
    </mc:Choice>
  </mc:AlternateContent>
  <xr:revisionPtr revIDLastSave="0" documentId="14_{11F4BBA8-BCE1-4DBA-8FE2-9E39ACC94C66}" xr6:coauthVersionLast="47" xr6:coauthVersionMax="47" xr10:uidLastSave="{00000000-0000-0000-0000-000000000000}"/>
  <bookViews>
    <workbookView xWindow="17050" yWindow="0" windowWidth="28350" windowHeight="13770" xr2:uid="{87901CB4-C370-449A-9B58-AEF3BE0D6564}"/>
  </bookViews>
  <sheets>
    <sheet name="Producer Set Up" sheetId="10" r:id="rId1"/>
    <sheet name="Benefit-Cost Budget" sheetId="2" r:id="rId2"/>
    <sheet name="Cattle and Markets" sheetId="3" r:id="rId3"/>
    <sheet name="Pasture and Feed" sheetId="4" r:id="rId4"/>
    <sheet name="Tractor and Fuel" sheetId="5" r:id="rId5"/>
    <sheet name="Vet and Health" sheetId="6" r:id="rId6"/>
    <sheet name="Breeding" sheetId="7" r:id="rId7"/>
    <sheet name="Transportation" sheetId="8" r:id="rId8"/>
    <sheet name="Marketing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2" l="1"/>
  <c r="E27" i="2"/>
  <c r="B28" i="2"/>
  <c r="E28" i="2"/>
  <c r="B29" i="2"/>
  <c r="E29" i="2"/>
  <c r="B30" i="2"/>
  <c r="E30" i="2"/>
  <c r="E26" i="2"/>
  <c r="B26" i="2"/>
  <c r="B24" i="3"/>
  <c r="B26" i="3" s="1"/>
  <c r="C24" i="3"/>
  <c r="C26" i="3" s="1"/>
  <c r="C6" i="5" s="1"/>
  <c r="C8" i="5" s="1"/>
  <c r="C12" i="7"/>
  <c r="C4" i="8"/>
  <c r="C23" i="8"/>
  <c r="C6" i="8"/>
  <c r="C5" i="8"/>
  <c r="C22" i="8" s="1"/>
  <c r="B16" i="7"/>
  <c r="C14" i="5"/>
  <c r="C21" i="4"/>
  <c r="C22" i="4" s="1"/>
  <c r="C16" i="4"/>
  <c r="C17" i="4" s="1"/>
  <c r="C6" i="4"/>
  <c r="C8" i="4" s="1"/>
  <c r="C19" i="3"/>
  <c r="E7" i="2" s="1"/>
  <c r="C14" i="3"/>
  <c r="C11" i="3"/>
  <c r="C9" i="3"/>
  <c r="C6" i="3"/>
  <c r="E11" i="2" s="1"/>
  <c r="C4" i="3"/>
  <c r="C11" i="8" s="1"/>
  <c r="C16" i="8" s="1"/>
  <c r="C11" i="9"/>
  <c r="C12" i="9"/>
  <c r="C13" i="9"/>
  <c r="C7" i="8"/>
  <c r="C15" i="7"/>
  <c r="C10" i="9" s="1"/>
  <c r="D10" i="6"/>
  <c r="D13" i="6"/>
  <c r="D18" i="6" s="1"/>
  <c r="D14" i="6"/>
  <c r="D15" i="6"/>
  <c r="D16" i="6"/>
  <c r="D17" i="6"/>
  <c r="C10" i="5"/>
  <c r="C12" i="5" s="1"/>
  <c r="C11" i="5"/>
  <c r="C9" i="4"/>
  <c r="C14" i="4"/>
  <c r="C15" i="4"/>
  <c r="C20" i="4"/>
  <c r="C25" i="4"/>
  <c r="C27" i="4" s="1"/>
  <c r="B4" i="8"/>
  <c r="B5" i="8"/>
  <c r="B22" i="8" s="1"/>
  <c r="B14" i="5"/>
  <c r="B21" i="4"/>
  <c r="B16" i="4"/>
  <c r="B9" i="4"/>
  <c r="B6" i="4"/>
  <c r="B19" i="3"/>
  <c r="B14" i="3"/>
  <c r="B11" i="3"/>
  <c r="B9" i="3"/>
  <c r="B6" i="3"/>
  <c r="B4" i="3"/>
  <c r="C22" i="3" l="1"/>
  <c r="C10" i="8" s="1"/>
  <c r="C13" i="7"/>
  <c r="C19" i="7" s="1"/>
  <c r="C12" i="3"/>
  <c r="C8" i="8" s="1"/>
  <c r="E19" i="2"/>
  <c r="F19" i="2" s="1"/>
  <c r="E5" i="2"/>
  <c r="C16" i="3"/>
  <c r="E6" i="2" s="1"/>
  <c r="F11" i="2"/>
  <c r="D19" i="6"/>
  <c r="D21" i="6" s="1"/>
  <c r="E15" i="2" s="1"/>
  <c r="F15" i="2" s="1"/>
  <c r="C24" i="8"/>
  <c r="C25" i="8" s="1"/>
  <c r="C16" i="7"/>
  <c r="C23" i="7" s="1"/>
  <c r="E16" i="2" s="1"/>
  <c r="F16" i="2" s="1"/>
  <c r="C13" i="5"/>
  <c r="E13" i="2" s="1"/>
  <c r="F13" i="2" s="1"/>
  <c r="C15" i="5"/>
  <c r="C14" i="8"/>
  <c r="C18" i="8"/>
  <c r="C20" i="8" s="1"/>
  <c r="C17" i="5"/>
  <c r="C18" i="5" s="1"/>
  <c r="C18" i="4"/>
  <c r="C19" i="4"/>
  <c r="C23" i="4" s="1"/>
  <c r="B24" i="8"/>
  <c r="B5" i="2"/>
  <c r="E10" i="3"/>
  <c r="B7" i="8"/>
  <c r="O7" i="8"/>
  <c r="O8" i="8" s="1"/>
  <c r="O16" i="8" s="1"/>
  <c r="O17" i="8" s="1"/>
  <c r="O18" i="8" s="1"/>
  <c r="B13" i="9"/>
  <c r="B12" i="9"/>
  <c r="B11" i="9"/>
  <c r="B25" i="8"/>
  <c r="I14" i="8"/>
  <c r="I15" i="8" s="1"/>
  <c r="I11" i="8"/>
  <c r="B15" i="7"/>
  <c r="B20" i="4"/>
  <c r="B11" i="8"/>
  <c r="B16" i="8" s="1"/>
  <c r="B18" i="8" s="1"/>
  <c r="B20" i="8" s="1"/>
  <c r="B12" i="7"/>
  <c r="B13" i="7" s="1"/>
  <c r="B14" i="9" s="1"/>
  <c r="C10" i="6"/>
  <c r="C13" i="6"/>
  <c r="C14" i="6"/>
  <c r="C15" i="6"/>
  <c r="C16" i="6"/>
  <c r="C17" i="6"/>
  <c r="B6" i="5"/>
  <c r="B8" i="5" s="1"/>
  <c r="B11" i="5"/>
  <c r="B8" i="4"/>
  <c r="B14" i="4"/>
  <c r="B15" i="5" s="1"/>
  <c r="B17" i="4"/>
  <c r="B22" i="4"/>
  <c r="B25" i="4"/>
  <c r="B27" i="4" s="1"/>
  <c r="B12" i="3"/>
  <c r="B8" i="8" s="1"/>
  <c r="B16" i="3"/>
  <c r="B22" i="3"/>
  <c r="B14" i="8" s="1"/>
  <c r="B7" i="2"/>
  <c r="C12" i="8" l="1"/>
  <c r="C14" i="9"/>
  <c r="C28" i="4"/>
  <c r="C17" i="3"/>
  <c r="C13" i="8" s="1"/>
  <c r="F5" i="2"/>
  <c r="F7" i="2"/>
  <c r="C10" i="4"/>
  <c r="C11" i="4" s="1"/>
  <c r="C12" i="4" s="1"/>
  <c r="C20" i="5"/>
  <c r="E14" i="2"/>
  <c r="F14" i="2" s="1"/>
  <c r="B10" i="8"/>
  <c r="B10" i="9"/>
  <c r="B19" i="4"/>
  <c r="B17" i="3"/>
  <c r="B9" i="8" s="1"/>
  <c r="B12" i="8"/>
  <c r="B15" i="4"/>
  <c r="B18" i="4" s="1"/>
  <c r="C19" i="6"/>
  <c r="C21" i="6" s="1"/>
  <c r="B15" i="2" s="1"/>
  <c r="B19" i="7"/>
  <c r="B23" i="7" s="1"/>
  <c r="B10" i="4"/>
  <c r="B11" i="4" s="1"/>
  <c r="C18" i="6"/>
  <c r="B10" i="5"/>
  <c r="B12" i="5" s="1"/>
  <c r="B17" i="5" s="1"/>
  <c r="B18" i="5" s="1"/>
  <c r="C30" i="4" l="1"/>
  <c r="E12" i="2" s="1"/>
  <c r="F12" i="2" s="1"/>
  <c r="C15" i="8"/>
  <c r="C17" i="8" s="1"/>
  <c r="C19" i="8" s="1"/>
  <c r="C21" i="8" s="1"/>
  <c r="C27" i="8" s="1"/>
  <c r="E17" i="2" s="1"/>
  <c r="F17" i="2" s="1"/>
  <c r="C9" i="8"/>
  <c r="F6" i="2"/>
  <c r="F8" i="2" s="1"/>
  <c r="G7" i="2" s="1"/>
  <c r="B23" i="4"/>
  <c r="B28" i="4"/>
  <c r="B12" i="4"/>
  <c r="B13" i="8"/>
  <c r="B15" i="8" s="1"/>
  <c r="B17" i="8" s="1"/>
  <c r="B13" i="5"/>
  <c r="B20" i="5" s="1"/>
  <c r="B14" i="2"/>
  <c r="E18" i="2" l="1"/>
  <c r="F18" i="2" s="1"/>
  <c r="G6" i="2"/>
  <c r="G5" i="2"/>
  <c r="E8" i="2"/>
  <c r="G8" i="2"/>
  <c r="B30" i="4"/>
  <c r="B19" i="8"/>
  <c r="B21" i="8" s="1"/>
  <c r="B27" i="8" s="1"/>
  <c r="C14" i="2"/>
  <c r="B6" i="2"/>
  <c r="B13" i="2"/>
  <c r="C13" i="2" s="1"/>
  <c r="B11" i="2"/>
  <c r="B19" i="2" s="1"/>
  <c r="C7" i="2" l="1"/>
  <c r="C15" i="2"/>
  <c r="C19" i="2"/>
  <c r="C11" i="2"/>
  <c r="B16" i="2" l="1"/>
  <c r="C16" i="2" l="1"/>
  <c r="B12" i="2" l="1"/>
  <c r="C5" i="2"/>
  <c r="C12" i="2" l="1"/>
  <c r="B17" i="2"/>
  <c r="B18" i="2" s="1"/>
  <c r="C6" i="2" l="1"/>
  <c r="C8" i="2" l="1"/>
  <c r="D6" i="2" s="1"/>
  <c r="C17" i="2"/>
  <c r="C18" i="2"/>
  <c r="B8" i="2" l="1"/>
  <c r="B5" i="9" s="1"/>
  <c r="C5" i="9" s="1"/>
  <c r="C16" i="9" s="1" a="1"/>
  <c r="C16" i="9" s="1"/>
  <c r="E20" i="2" s="1"/>
  <c r="D7" i="2"/>
  <c r="D8" i="2"/>
  <c r="D5" i="2"/>
  <c r="F20" i="2" l="1"/>
  <c r="E22" i="2"/>
  <c r="F22" i="2" s="1"/>
  <c r="B16" i="9" a="1"/>
  <c r="B16" i="9" s="1"/>
  <c r="B20" i="2" s="1"/>
  <c r="E24" i="2" l="1"/>
  <c r="F24" i="2" s="1"/>
  <c r="C20" i="2"/>
  <c r="B22" i="2"/>
  <c r="B24" i="2" s="1"/>
  <c r="C24" i="2" l="1"/>
  <c r="B18" i="10"/>
  <c r="C18" i="10"/>
  <c r="G22" i="2"/>
  <c r="G19" i="2"/>
  <c r="G18" i="2"/>
  <c r="G12" i="2"/>
  <c r="G13" i="2"/>
  <c r="G16" i="2"/>
  <c r="G14" i="2"/>
  <c r="G17" i="2"/>
  <c r="G11" i="2"/>
  <c r="G15" i="2"/>
  <c r="G20" i="2"/>
  <c r="C22" i="2"/>
  <c r="D17" i="2" s="1"/>
  <c r="D19" i="2" l="1"/>
  <c r="D11" i="2"/>
  <c r="D22" i="2"/>
  <c r="D20" i="2"/>
  <c r="D14" i="2"/>
  <c r="D16" i="2"/>
  <c r="D15" i="2"/>
  <c r="D13" i="2"/>
  <c r="D18" i="2"/>
  <c r="D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<sst xmlns="http://schemas.openxmlformats.org/spreadsheetml/2006/main" count="246" uniqueCount="194">
  <si>
    <t>Pairs</t>
  </si>
  <si>
    <t>Bred heifers</t>
  </si>
  <si>
    <t>Production costs</t>
  </si>
  <si>
    <t>Veterinary/health</t>
  </si>
  <si>
    <t>Transportation</t>
  </si>
  <si>
    <t>Interest for operating expenses</t>
  </si>
  <si>
    <t>Interest for owning the heifers</t>
  </si>
  <si>
    <t>Heifer purchase</t>
  </si>
  <si>
    <t>Total gross revenue</t>
  </si>
  <si>
    <t>Total cost of production</t>
  </si>
  <si>
    <t>Bred heifers sold</t>
  </si>
  <si>
    <t>Sale price of pairs ($/pair)</t>
  </si>
  <si>
    <t>$/operation</t>
  </si>
  <si>
    <t>Open heifers culled (head)</t>
  </si>
  <si>
    <t>Percent sold as heifers</t>
  </si>
  <si>
    <t>Percent of heifers open (%)</t>
  </si>
  <si>
    <t>Percent sold as pairs (%)</t>
  </si>
  <si>
    <t>Cows to bull ratio</t>
  </si>
  <si>
    <t>Purchase price of breeding bull ($/bull)</t>
  </si>
  <si>
    <t>Breeding soundness exam ($/heifer)</t>
  </si>
  <si>
    <t>Maximum number of bred heifers per load</t>
  </si>
  <si>
    <t>Maximum number of pairs per load</t>
  </si>
  <si>
    <t>Products</t>
  </si>
  <si>
    <t>Total cost of breeding heifers ($/heifer)</t>
  </si>
  <si>
    <t>PregGuard</t>
  </si>
  <si>
    <t>One Shot Ultra8</t>
  </si>
  <si>
    <t>Pinkeye</t>
  </si>
  <si>
    <t>Footrot</t>
  </si>
  <si>
    <t>Vet/health for heifers</t>
  </si>
  <si>
    <t>Vet/health for breeding bulls</t>
  </si>
  <si>
    <t>Total vet/health ($/heifer)</t>
  </si>
  <si>
    <t>Bovishield Gold</t>
  </si>
  <si>
    <t>Ivermectin (pour)</t>
  </si>
  <si>
    <t>Commission (%/price)</t>
  </si>
  <si>
    <t>IBRV-BVDV-BRSV-Vib-Lep5 ($/hd)</t>
  </si>
  <si>
    <t>Clostridial (blackleg) ($/hd)</t>
  </si>
  <si>
    <t>Moraxella bovis (Pinkeye vaccine) ($/hd)</t>
  </si>
  <si>
    <t>Footrot vaccine ($/hd)</t>
  </si>
  <si>
    <t>Parasites (necrophorum) ($/hd)</t>
  </si>
  <si>
    <t>Total vet cost for heifers ($/hd)</t>
  </si>
  <si>
    <t>Price of feed ($/ton)</t>
  </si>
  <si>
    <t>Pasture rent ($/acre)</t>
  </si>
  <si>
    <t>Tractor life expectancy (years)</t>
  </si>
  <si>
    <t>Tractor salvage value ($)</t>
  </si>
  <si>
    <t>Tractor use (hours/day)</t>
  </si>
  <si>
    <t>Hours per year</t>
  </si>
  <si>
    <t>Tractor use (hours/development period)</t>
  </si>
  <si>
    <t>Tractor use (%/year)</t>
  </si>
  <si>
    <t>Tractor purchase price (90 HP) ($)</t>
  </si>
  <si>
    <t>Price of fuel ($/gallon)</t>
  </si>
  <si>
    <t>Tractor lube and repairs (%/annual value)</t>
  </si>
  <si>
    <t>Tractor, lube and repairs ($/development period)</t>
  </si>
  <si>
    <t>Synchronization program</t>
  </si>
  <si>
    <t>Interest on operating capital (%)</t>
  </si>
  <si>
    <t>Days on farm (April/May to April/May)</t>
  </si>
  <si>
    <t>Heifers (wintered) purchased (head)</t>
  </si>
  <si>
    <t>Days on hay</t>
  </si>
  <si>
    <t>Days on pasture</t>
  </si>
  <si>
    <t>Price of hay ($/ton)</t>
  </si>
  <si>
    <t>Days on winter feed</t>
  </si>
  <si>
    <t>Pairs sold (head)</t>
  </si>
  <si>
    <t>Total vet cost for bulls ($/heifer)</t>
  </si>
  <si>
    <t>Total vet cost for bulls ($/bull)</t>
  </si>
  <si>
    <t>Stocking rate (acres/heifer)</t>
  </si>
  <si>
    <t>Pasture cost ($/heifer)</t>
  </si>
  <si>
    <t>Stocking rate (acres/bull)</t>
  </si>
  <si>
    <t>Base-case sources of revenue</t>
  </si>
  <si>
    <t>Price of mineral ($/ounce)</t>
  </si>
  <si>
    <t>Cost of mineral for bulls for 2 months ($/heifer)</t>
  </si>
  <si>
    <t>Interest rate on investment capital (%)</t>
  </si>
  <si>
    <t>Tractor, amortized depreciation and interest ($/year)</t>
  </si>
  <si>
    <t>Bulls needed based on heifers purchased (rounded)</t>
  </si>
  <si>
    <t>Interest rate on investment capital ($)</t>
  </si>
  <si>
    <t>Roundtrip cost to obtain purchased heifers ($)</t>
  </si>
  <si>
    <t>Pregnancy test ($/heifer)</t>
  </si>
  <si>
    <t>Total cost of transportation ($/heifer)</t>
  </si>
  <si>
    <t>Total pasture cost ($/heifer)</t>
  </si>
  <si>
    <t>Total marketing costs ($/heifer)</t>
  </si>
  <si>
    <t>Assumption:</t>
  </si>
  <si>
    <t>Assumption</t>
  </si>
  <si>
    <t>Open heifers</t>
  </si>
  <si>
    <t>Breeding</t>
  </si>
  <si>
    <t>Tractor: depreciation and interest</t>
  </si>
  <si>
    <t>Tractor: fuel, lube and repairs</t>
  </si>
  <si>
    <t>Cattle Marketing: Data and Assumptions</t>
  </si>
  <si>
    <t>Heifer Breeding: Data and Assumptions</t>
  </si>
  <si>
    <t>Veterinary/Health: Data and Assumptions</t>
  </si>
  <si>
    <t>Tractor: Data and Assumptions</t>
  </si>
  <si>
    <t>Pasture, Feed, Hay, and Mineral: Data and Assumptions</t>
  </si>
  <si>
    <t>$/heifer</t>
  </si>
  <si>
    <t>Heifer weight at purchase (pounds/head)</t>
  </si>
  <si>
    <t>Heifer cull price ($/pound)</t>
  </si>
  <si>
    <t>Sale weight of bred heifers (pounds/head)</t>
  </si>
  <si>
    <t>Weight of pairs (pounds/pair)</t>
  </si>
  <si>
    <t>Final weight of culled heifers (pounds/head)</t>
  </si>
  <si>
    <t>Price of feed ($/pound)</t>
  </si>
  <si>
    <t>Cost of feed during winter ($/heifer)</t>
  </si>
  <si>
    <t>Quantity of hay (pounds/heifer/day)</t>
  </si>
  <si>
    <t>Price of hay ($/pound)</t>
  </si>
  <si>
    <t>Cost of hay ($/heifer)</t>
  </si>
  <si>
    <t>Price of mineral ($/50-pound block)</t>
  </si>
  <si>
    <t>Feed during winter (pounds/heifer/day)</t>
  </si>
  <si>
    <t>Tractor, amortized D&amp;I ($/heifer)</t>
  </si>
  <si>
    <t>Tractor fuel ($/heifer)</t>
  </si>
  <si>
    <t>Tractor lube and repairs ($/heifer)</t>
  </si>
  <si>
    <t>Total cost of tractor ($/heifer)</t>
  </si>
  <si>
    <t>Breeding soundness exam ($/bull/year)</t>
  </si>
  <si>
    <t>Maximum number of purchased heifers per load</t>
  </si>
  <si>
    <t>Weight of purchased heifers going to farm (total pounds)</t>
  </si>
  <si>
    <t>Weight of bred heifers going to market (total pounds)</t>
  </si>
  <si>
    <t>Weight of pairs going to market (total pounds)</t>
  </si>
  <si>
    <t>Weight of open heifers going to market (total pounds)</t>
  </si>
  <si>
    <t>Weight of cattle going to market (total pounds)</t>
  </si>
  <si>
    <t>Commission, average ($/heifer)</t>
  </si>
  <si>
    <t>Salebarn fee (insurance, yardage) ($/heifer)</t>
  </si>
  <si>
    <t>Beef checkoff ($/heifer)</t>
  </si>
  <si>
    <t>Brand inspection ($/heifer)</t>
  </si>
  <si>
    <t>Rate of mineral fed (ounces/heifer/day)</t>
  </si>
  <si>
    <t>Pasture cost for bulls for 2 months ($/heifer)</t>
  </si>
  <si>
    <t>Cost of bulls ($/heifer)</t>
  </si>
  <si>
    <t>Salvage value of bulls after breeding period ($/bull)</t>
  </si>
  <si>
    <t>Notes</t>
  </si>
  <si>
    <t>Pasture needed for bulls (acres)</t>
  </si>
  <si>
    <t>CIDR ($/heifer)</t>
  </si>
  <si>
    <t>Lutlayse ($/heifer)</t>
  </si>
  <si>
    <t>GNRH ($/heifer)</t>
  </si>
  <si>
    <t>AI Technician ($/heifer)</t>
  </si>
  <si>
    <t>Are you using an artificial insemination (AI) program (y/n)?</t>
  </si>
  <si>
    <t>Semen straw ($/heifer)</t>
  </si>
  <si>
    <t>Roundtrip cost to obtain and deliver bulls ($/heifer)</t>
  </si>
  <si>
    <t>Cost to transport bulls ($/heifer)</t>
  </si>
  <si>
    <t>Number of trips</t>
  </si>
  <si>
    <t>Transport price for heifers in pot belly ($/mile)</t>
  </si>
  <si>
    <t>Commission, average ($/bull)</t>
  </si>
  <si>
    <t>Salebarn fee (insurance, yardage) ($/bull)</t>
  </si>
  <si>
    <t>Beef checkoff ($/bull)</t>
  </si>
  <si>
    <t>Brand inspection ($/bull)</t>
  </si>
  <si>
    <t>Number of bulls</t>
  </si>
  <si>
    <t>%</t>
  </si>
  <si>
    <t>-</t>
  </si>
  <si>
    <t>Total pasture, feed, hay, and mineral cost ($/heifer)</t>
  </si>
  <si>
    <t>Cost of mineral for heifers ($/heifer)</t>
  </si>
  <si>
    <t>Pasture, feed, hay and mineral</t>
  </si>
  <si>
    <t xml:space="preserve">Net return </t>
  </si>
  <si>
    <t>y</t>
  </si>
  <si>
    <t>We assume that a producer would purchase bulls prior to breeding and sell them after the 60 day breeding period for the same price</t>
  </si>
  <si>
    <t>Marketing (commission, checkoff, etc.)</t>
  </si>
  <si>
    <t>space/100 lbs (ft2)</t>
  </si>
  <si>
    <t>heifer weight</t>
  </si>
  <si>
    <t>pairs weight</t>
  </si>
  <si>
    <t>heifer space</t>
  </si>
  <si>
    <t>truck space (1700 ft2)</t>
  </si>
  <si>
    <t>head space per load</t>
  </si>
  <si>
    <t>total weight per load</t>
  </si>
  <si>
    <t>maximum head per load</t>
  </si>
  <si>
    <t>Maximum weight per truck load (lbs/load)</t>
  </si>
  <si>
    <t>Maximum number of open heifers per load</t>
  </si>
  <si>
    <t>Trucks needed to transport cattle from farm to salebarn</t>
  </si>
  <si>
    <t>Trucks needed to transport cattle from salebarn to farm</t>
  </si>
  <si>
    <t>Roundtrip cost to deliver breds, pairs and opens ($)</t>
  </si>
  <si>
    <t>Roundtrip cost transport purchased heifers ($/heifer)</t>
  </si>
  <si>
    <t>Roundtrip cost to deliver breds, pairs and opens ($/heifer)</t>
  </si>
  <si>
    <t>Producer transport price of breeding bulls ($/mile)</t>
  </si>
  <si>
    <t>Transportation Costs: Data and Assumptions</t>
  </si>
  <si>
    <t>Heifer purchase price ($/lb)</t>
  </si>
  <si>
    <t>Sale price of bred heifers ($/hd)</t>
  </si>
  <si>
    <t>Essential Price and Quanitity Parameters</t>
  </si>
  <si>
    <t>Sale price of pairs ($/hd)</t>
  </si>
  <si>
    <t>Heifer cull price ($/lb)</t>
  </si>
  <si>
    <t>Pasture rental rate ($/acre)</t>
  </si>
  <si>
    <t>Price of grain-based feed ($/ton)</t>
  </si>
  <si>
    <t>Distance to salebarn (miles)</t>
  </si>
  <si>
    <t>Assume rancher uses his own truck and trailer and cost 1.5 times that of commercial ($/mile)</t>
  </si>
  <si>
    <t>Roundtrip distance to and from salebarn (miles)</t>
  </si>
  <si>
    <t>NDSU</t>
  </si>
  <si>
    <t>Producer</t>
  </si>
  <si>
    <t>Cattle Production and Markets: Data and Assumptions</t>
  </si>
  <si>
    <t>NDSU Projections</t>
  </si>
  <si>
    <t>Producer Projections</t>
  </si>
  <si>
    <t>Sources of Revenue, Production Costs and Net Return to Labor, Management and Farm Overhead</t>
  </si>
  <si>
    <t>Interest rate on operating capital (%)</t>
  </si>
  <si>
    <t>Using an A.I. breeding program (y/n)?</t>
  </si>
  <si>
    <t>2.5% of average bodyweight</t>
  </si>
  <si>
    <t>3% of average bodyweight</t>
  </si>
  <si>
    <t>Net return ($/heifer)</t>
  </si>
  <si>
    <t>Number of heifers purchased, April Y1 (head)</t>
  </si>
  <si>
    <t>Percent sold as bred heifers, April Y2 (%)</t>
  </si>
  <si>
    <t>Price of transportation ($/mile)</t>
  </si>
  <si>
    <t>Breakeven heifer purchase price ($/lb)</t>
  </si>
  <si>
    <t>Breakeven bred heifer sale price ($/hd)</t>
  </si>
  <si>
    <t>Breakeven price of pairs ($/hd)</t>
  </si>
  <si>
    <t>Breakeven price of feed ($/ton)</t>
  </si>
  <si>
    <t>Breakeven price of hay ($/ton)</t>
  </si>
  <si>
    <t>from the budget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</si>
</sst>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#,##0.0"/>
    <numFmt numFmtId="166" formatCode="0.0"/>
    <numFmt numFmtId="167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Border="1"/>
    <xf numFmtId="0" fontId="0" fillId="0" borderId="0" xfId="0" applyFill="1" applyBorder="1"/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left"/>
    </xf>
    <xf numFmtId="3" fontId="0" fillId="0" borderId="0" xfId="0" applyNumberFormat="1" applyBorder="1" applyAlignment="1">
      <alignment horizontal="center" wrapText="1"/>
    </xf>
    <xf numFmtId="0" fontId="2" fillId="0" borderId="0" xfId="0" applyFont="1" applyAlignment="1">
      <alignment horizontal="left"/>
    </xf>
    <xf numFmtId="4" fontId="2" fillId="0" borderId="0" xfId="0" applyNumberFormat="1" applyFont="1" applyAlignment="1">
      <alignment horizontal="left"/>
    </xf>
    <xf numFmtId="2" fontId="0" fillId="0" borderId="0" xfId="0" applyNumberFormat="1" applyFill="1" applyAlignment="1">
      <alignment horizontal="center"/>
    </xf>
    <xf numFmtId="0" fontId="0" fillId="0" borderId="0" xfId="0" applyFont="1"/>
    <xf numFmtId="4" fontId="0" fillId="0" borderId="0" xfId="0" applyNumberFormat="1" applyFont="1" applyAlignment="1">
      <alignment horizontal="center"/>
    </xf>
    <xf numFmtId="3" fontId="0" fillId="0" borderId="0" xfId="0" applyNumberFormat="1" applyFont="1" applyBorder="1" applyAlignment="1">
      <alignment horizontal="center" wrapText="1"/>
    </xf>
    <xf numFmtId="0" fontId="0" fillId="0" borderId="1" xfId="0" applyFont="1" applyBorder="1"/>
    <xf numFmtId="4" fontId="0" fillId="0" borderId="1" xfId="0" applyNumberFormat="1" applyFont="1" applyBorder="1" applyAlignment="1">
      <alignment horizontal="center"/>
    </xf>
    <xf numFmtId="3" fontId="0" fillId="0" borderId="1" xfId="0" applyNumberFormat="1" applyFont="1" applyBorder="1" applyAlignment="1">
      <alignment horizontal="center" wrapText="1"/>
    </xf>
    <xf numFmtId="3" fontId="0" fillId="0" borderId="0" xfId="0" applyNumberFormat="1" applyFill="1" applyAlignment="1">
      <alignment horizontal="center"/>
    </xf>
    <xf numFmtId="4" fontId="0" fillId="0" borderId="0" xfId="0" applyNumberFormat="1" applyFill="1" applyAlignment="1">
      <alignment horizontal="center"/>
    </xf>
    <xf numFmtId="0" fontId="1" fillId="0" borderId="1" xfId="0" applyFont="1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wrapText="1"/>
    </xf>
    <xf numFmtId="1" fontId="0" fillId="0" borderId="0" xfId="0" applyNumberFormat="1" applyBorder="1" applyAlignment="1">
      <alignment horizontal="center"/>
    </xf>
    <xf numFmtId="9" fontId="0" fillId="0" borderId="0" xfId="1" applyNumberFormat="1" applyFont="1" applyBorder="1" applyAlignment="1">
      <alignment horizontal="center"/>
    </xf>
    <xf numFmtId="167" fontId="0" fillId="0" borderId="0" xfId="1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0" fontId="1" fillId="0" borderId="0" xfId="0" applyFont="1" applyAlignment="1">
      <alignment horizontal="left"/>
    </xf>
    <xf numFmtId="4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6" fontId="0" fillId="0" borderId="0" xfId="0" applyNumberFormat="1"/>
    <xf numFmtId="0" fontId="0" fillId="0" borderId="0" xfId="0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9" fontId="0" fillId="0" borderId="0" xfId="1" applyFont="1" applyAlignment="1">
      <alignment horizontal="center"/>
    </xf>
    <xf numFmtId="0" fontId="0" fillId="0" borderId="1" xfId="0" applyBorder="1" applyAlignment="1"/>
    <xf numFmtId="0" fontId="0" fillId="0" borderId="0" xfId="0" applyAlignment="1"/>
    <xf numFmtId="0" fontId="0" fillId="0" borderId="0" xfId="0" applyFill="1" applyAlignment="1">
      <alignment horizontal="center"/>
    </xf>
    <xf numFmtId="9" fontId="0" fillId="0" borderId="0" xfId="0" applyNumberFormat="1" applyFill="1" applyBorder="1" applyAlignment="1">
      <alignment horizontal="center"/>
    </xf>
    <xf numFmtId="9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4" fontId="0" fillId="0" borderId="3" xfId="0" applyNumberFormat="1" applyFill="1" applyBorder="1" applyAlignment="1">
      <alignment horizontal="center"/>
    </xf>
    <xf numFmtId="4" fontId="1" fillId="0" borderId="0" xfId="0" applyNumberFormat="1" applyFont="1" applyFill="1" applyAlignment="1">
      <alignment horizontal="center"/>
    </xf>
    <xf numFmtId="3" fontId="0" fillId="0" borderId="3" xfId="0" applyNumberForma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4" fontId="1" fillId="0" borderId="1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3" xfId="0" applyFill="1" applyBorder="1" applyAlignment="1">
      <alignment horizontal="center"/>
    </xf>
    <xf numFmtId="38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9" fontId="0" fillId="0" borderId="3" xfId="0" applyNumberFormat="1" applyFill="1" applyBorder="1" applyAlignment="1">
      <alignment horizontal="center"/>
    </xf>
    <xf numFmtId="10" fontId="0" fillId="0" borderId="3" xfId="0" applyNumberForma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0" fontId="0" fillId="0" borderId="1" xfId="0" applyNumberForma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1" fillId="0" borderId="0" xfId="0" applyFont="1" applyBorder="1" applyAlignment="1"/>
    <xf numFmtId="10" fontId="0" fillId="0" borderId="0" xfId="1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2" fontId="1" fillId="0" borderId="0" xfId="0" applyNumberFormat="1" applyFont="1" applyAlignment="1" applyProtection="1">
      <alignment horizontal="center"/>
      <protection locked="0"/>
    </xf>
    <xf numFmtId="9" fontId="1" fillId="0" borderId="0" xfId="1" applyFont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2" fontId="1" fillId="0" borderId="0" xfId="0" applyNumberFormat="1" applyFont="1" applyBorder="1" applyAlignment="1" applyProtection="1">
      <alignment horizontal="center"/>
      <protection locked="0"/>
    </xf>
    <xf numFmtId="0" fontId="0" fillId="0" borderId="0" xfId="0" applyFill="1" applyBorder="1" applyProtection="1">
      <protection locked="0"/>
    </xf>
    <xf numFmtId="10" fontId="1" fillId="0" borderId="0" xfId="1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2" fontId="0" fillId="0" borderId="0" xfId="0" applyNumberFormat="1" applyAlignment="1" applyProtection="1">
      <alignment horizontal="center"/>
    </xf>
    <xf numFmtId="9" fontId="0" fillId="0" borderId="0" xfId="1" applyFont="1" applyAlignment="1" applyProtection="1">
      <alignment horizontal="center"/>
    </xf>
    <xf numFmtId="3" fontId="0" fillId="0" borderId="0" xfId="0" applyNumberFormat="1" applyAlignment="1" applyProtection="1">
      <alignment horizontal="center"/>
    </xf>
    <xf numFmtId="2" fontId="0" fillId="0" borderId="0" xfId="0" applyNumberFormat="1" applyBorder="1" applyAlignment="1" applyProtection="1">
      <alignment horizontal="center"/>
    </xf>
    <xf numFmtId="10" fontId="0" fillId="0" borderId="0" xfId="1" applyNumberFormat="1" applyFont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3" fontId="0" fillId="0" borderId="0" xfId="0" applyNumberFormat="1"/>
    <xf numFmtId="4" fontId="0" fillId="0" borderId="0" xfId="0" applyNumberFormat="1" applyAlignment="1" applyProtection="1">
      <alignment horizontal="center"/>
    </xf>
    <xf numFmtId="9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849C2-323F-4B93-A7A8-2CF9C689F902}">
  <dimension ref="A1:D24"/>
  <sheetViews>
    <sheetView tabSelected="1" zoomScaleNormal="100" workbookViewId="0">
      <selection activeCell="I21" sqref="I21"/>
    </sheetView>
  </sheetViews>
  <sheetFormatPr defaultRowHeight="14.5" x14ac:dyDescent="0.35"/>
  <cols>
    <col min="1" max="1" width="39" style="88" bestFit="1" customWidth="1"/>
    <col min="2" max="2" width="8.7265625" style="92"/>
    <col min="3" max="15" width="8.7265625" style="88"/>
    <col min="16" max="16" width="9.7265625" style="88" bestFit="1" customWidth="1"/>
    <col min="17" max="16384" width="8.7265625" style="88"/>
  </cols>
  <sheetData>
    <row r="1" spans="1:3" x14ac:dyDescent="0.35">
      <c r="A1" s="87" t="s">
        <v>166</v>
      </c>
      <c r="B1" s="87"/>
      <c r="C1" s="87"/>
    </row>
    <row r="3" spans="1:3" x14ac:dyDescent="0.35">
      <c r="A3" s="89" t="s">
        <v>78</v>
      </c>
      <c r="B3" s="90" t="s">
        <v>174</v>
      </c>
      <c r="C3" s="91" t="s">
        <v>175</v>
      </c>
    </row>
    <row r="4" spans="1:3" x14ac:dyDescent="0.35">
      <c r="A4" s="88" t="s">
        <v>185</v>
      </c>
      <c r="B4" s="104">
        <v>100</v>
      </c>
      <c r="C4" s="93">
        <v>30</v>
      </c>
    </row>
    <row r="5" spans="1:3" x14ac:dyDescent="0.35">
      <c r="A5" s="88" t="s">
        <v>164</v>
      </c>
      <c r="B5" s="105">
        <v>3.6</v>
      </c>
      <c r="C5" s="94">
        <v>3.6</v>
      </c>
    </row>
    <row r="6" spans="1:3" x14ac:dyDescent="0.35">
      <c r="A6" s="88" t="s">
        <v>186</v>
      </c>
      <c r="B6" s="106">
        <v>0.2</v>
      </c>
      <c r="C6" s="95">
        <v>0.2</v>
      </c>
    </row>
    <row r="7" spans="1:3" x14ac:dyDescent="0.35">
      <c r="A7" s="88" t="s">
        <v>165</v>
      </c>
      <c r="B7" s="107">
        <v>4200</v>
      </c>
      <c r="C7" s="97">
        <v>4300</v>
      </c>
    </row>
    <row r="8" spans="1:3" x14ac:dyDescent="0.35">
      <c r="A8" s="88" t="s">
        <v>167</v>
      </c>
      <c r="B8" s="107">
        <v>4300</v>
      </c>
      <c r="C8" s="97">
        <v>4400</v>
      </c>
    </row>
    <row r="9" spans="1:3" x14ac:dyDescent="0.35">
      <c r="A9" s="88" t="s">
        <v>168</v>
      </c>
      <c r="B9" s="104">
        <v>3.25</v>
      </c>
      <c r="C9" s="93">
        <v>3.25</v>
      </c>
    </row>
    <row r="10" spans="1:3" x14ac:dyDescent="0.35">
      <c r="A10" s="88" t="s">
        <v>169</v>
      </c>
      <c r="B10" s="104">
        <v>30</v>
      </c>
      <c r="C10" s="93">
        <v>30</v>
      </c>
    </row>
    <row r="11" spans="1:3" x14ac:dyDescent="0.35">
      <c r="A11" s="88" t="s">
        <v>170</v>
      </c>
      <c r="B11" s="104">
        <v>150</v>
      </c>
      <c r="C11" s="93">
        <v>150</v>
      </c>
    </row>
    <row r="12" spans="1:3" x14ac:dyDescent="0.35">
      <c r="A12" s="88" t="s">
        <v>58</v>
      </c>
      <c r="B12" s="104">
        <v>75</v>
      </c>
      <c r="C12" s="93">
        <v>75</v>
      </c>
    </row>
    <row r="13" spans="1:3" x14ac:dyDescent="0.35">
      <c r="A13" s="88" t="s">
        <v>171</v>
      </c>
      <c r="B13" s="104">
        <v>30</v>
      </c>
      <c r="C13" s="93">
        <v>30</v>
      </c>
    </row>
    <row r="14" spans="1:3" x14ac:dyDescent="0.35">
      <c r="A14" s="98" t="s">
        <v>187</v>
      </c>
      <c r="B14" s="108">
        <v>3.3</v>
      </c>
      <c r="C14" s="99">
        <v>3.3</v>
      </c>
    </row>
    <row r="15" spans="1:3" x14ac:dyDescent="0.35">
      <c r="A15" s="100" t="s">
        <v>180</v>
      </c>
      <c r="B15" s="109">
        <v>6.5000000000000002E-2</v>
      </c>
      <c r="C15" s="101">
        <v>5.2499999999999998E-2</v>
      </c>
    </row>
    <row r="16" spans="1:3" x14ac:dyDescent="0.35">
      <c r="A16" s="89" t="s">
        <v>181</v>
      </c>
      <c r="B16" s="110" t="s">
        <v>144</v>
      </c>
      <c r="C16" s="102" t="s">
        <v>144</v>
      </c>
    </row>
    <row r="17" spans="1:4" x14ac:dyDescent="0.35">
      <c r="B17" s="104"/>
    </row>
    <row r="18" spans="1:4" x14ac:dyDescent="0.35">
      <c r="A18" s="88" t="s">
        <v>184</v>
      </c>
      <c r="B18" s="112">
        <f>'Benefit-Cost Budget'!B24</f>
        <v>191.07630832283348</v>
      </c>
      <c r="C18" s="103">
        <f>'Benefit-Cost Budget'!E24</f>
        <v>272.22205345517432</v>
      </c>
      <c r="D18" s="88" t="s">
        <v>193</v>
      </c>
    </row>
    <row r="19" spans="1:4" x14ac:dyDescent="0.35">
      <c r="B19" s="104"/>
    </row>
    <row r="20" spans="1:4" x14ac:dyDescent="0.35">
      <c r="A20" s="88" t="s">
        <v>188</v>
      </c>
      <c r="B20" s="104">
        <v>3.7949999999999999</v>
      </c>
      <c r="C20" s="92">
        <v>3.944</v>
      </c>
    </row>
    <row r="21" spans="1:4" x14ac:dyDescent="0.35">
      <c r="A21" s="88" t="s">
        <v>189</v>
      </c>
      <c r="B21" s="107">
        <v>3374</v>
      </c>
      <c r="C21" s="96">
        <v>2935</v>
      </c>
    </row>
    <row r="22" spans="1:4" x14ac:dyDescent="0.35">
      <c r="A22" s="88" t="s">
        <v>190</v>
      </c>
      <c r="B22" s="107">
        <v>4020</v>
      </c>
      <c r="C22" s="92">
        <v>4010</v>
      </c>
    </row>
    <row r="23" spans="1:4" x14ac:dyDescent="0.35">
      <c r="A23" s="88" t="s">
        <v>191</v>
      </c>
      <c r="B23" s="104">
        <v>234</v>
      </c>
      <c r="C23" s="92">
        <v>271</v>
      </c>
    </row>
    <row r="24" spans="1:4" x14ac:dyDescent="0.35">
      <c r="A24" s="88" t="s">
        <v>192</v>
      </c>
      <c r="B24" s="104">
        <v>144</v>
      </c>
      <c r="C24" s="92">
        <v>175</v>
      </c>
    </row>
  </sheetData>
  <sheetProtection algorithmName="SHA-512" hashValue="pPQJWXRjdZVjlb6OYNJyVyr8OA3Jh97TgNzWE5JxVrsRGN5jqZxwALotvqKOhSbr65866Ao+G/JmKzGruds4aQ==" saltValue="KRjsysQCI1GlBBD00C5x/w==" spinCount="100000" sheet="1" objects="1" scenarios="1" selectLockedCells="1"/>
  <mergeCells count="1">
    <mergeCell ref="A1:C1"/>
  </mergeCells>
  <pageMargins left="0.7" right="0.7" top="0.75" bottom="0.75" header="0.3" footer="0.3"/>
  <ignoredErrors>
    <ignoredError sqref="B18:C1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5EC9B-3296-41A9-B511-66450979CC8E}">
  <dimension ref="A1:R32"/>
  <sheetViews>
    <sheetView showGridLines="0" zoomScaleNormal="100" workbookViewId="0">
      <selection activeCell="H10" sqref="H10"/>
    </sheetView>
  </sheetViews>
  <sheetFormatPr defaultColWidth="33.08984375" defaultRowHeight="14.5" x14ac:dyDescent="0.35"/>
  <cols>
    <col min="1" max="1" width="36.453125" customWidth="1"/>
    <col min="2" max="2" width="7.81640625" style="1" bestFit="1" customWidth="1"/>
    <col min="3" max="3" width="10.81640625" style="1" bestFit="1" customWidth="1"/>
    <col min="4" max="4" width="5.81640625" bestFit="1" customWidth="1"/>
    <col min="5" max="5" width="7.81640625" bestFit="1" customWidth="1"/>
    <col min="6" max="6" width="10.81640625" bestFit="1" customWidth="1"/>
    <col min="7" max="7" width="5.81640625" bestFit="1" customWidth="1"/>
    <col min="9" max="9" width="10.90625" style="1" customWidth="1"/>
    <col min="10" max="15" width="33.08984375" style="1"/>
  </cols>
  <sheetData>
    <row r="1" spans="1:15" x14ac:dyDescent="0.35">
      <c r="A1" s="81" t="s">
        <v>179</v>
      </c>
      <c r="B1" s="81"/>
      <c r="C1" s="81"/>
      <c r="D1" s="81"/>
      <c r="E1" s="81"/>
      <c r="F1" s="81"/>
      <c r="G1" s="81"/>
    </row>
    <row r="2" spans="1:15" x14ac:dyDescent="0.35">
      <c r="A2" s="38"/>
      <c r="B2" s="38"/>
      <c r="C2" s="38"/>
      <c r="D2" s="38"/>
      <c r="E2" s="38"/>
      <c r="F2" s="38"/>
      <c r="G2" s="38"/>
    </row>
    <row r="3" spans="1:15" x14ac:dyDescent="0.35">
      <c r="A3" s="78"/>
      <c r="B3" s="83" t="s">
        <v>177</v>
      </c>
      <c r="C3" s="83"/>
      <c r="D3" s="83"/>
      <c r="E3" s="82" t="s">
        <v>178</v>
      </c>
      <c r="F3" s="82"/>
      <c r="G3" s="82"/>
    </row>
    <row r="4" spans="1:15" s="48" customFormat="1" x14ac:dyDescent="0.35">
      <c r="A4" s="47" t="s">
        <v>66</v>
      </c>
      <c r="B4" s="44" t="s">
        <v>89</v>
      </c>
      <c r="C4" s="44" t="s">
        <v>12</v>
      </c>
      <c r="D4" s="44" t="s">
        <v>138</v>
      </c>
      <c r="E4" s="44" t="s">
        <v>89</v>
      </c>
      <c r="F4" s="44" t="s">
        <v>12</v>
      </c>
      <c r="G4" s="44" t="s">
        <v>138</v>
      </c>
      <c r="I4" s="1"/>
      <c r="J4" s="1"/>
      <c r="K4" s="1"/>
      <c r="L4" s="1"/>
      <c r="M4" s="1"/>
      <c r="N4" s="1"/>
      <c r="O4" s="1"/>
    </row>
    <row r="5" spans="1:15" x14ac:dyDescent="0.35">
      <c r="A5" t="s">
        <v>1</v>
      </c>
      <c r="B5" s="8">
        <f>IF('Cattle and Markets'!B11=0,0,'Cattle and Markets'!B9)</f>
        <v>4200</v>
      </c>
      <c r="C5" s="8">
        <f>+B5*'Cattle and Markets'!B12</f>
        <v>84000</v>
      </c>
      <c r="D5" s="12">
        <f>C5/$C$8</f>
        <v>0.20277610138805069</v>
      </c>
      <c r="E5" s="8">
        <f>IF('Cattle and Markets'!C11=0,0,'Cattle and Markets'!C9)</f>
        <v>4300</v>
      </c>
      <c r="F5" s="8">
        <f>+E5*'Cattle and Markets'!C12</f>
        <v>25800</v>
      </c>
      <c r="G5" s="12">
        <f>F5/$F$8</f>
        <v>0.20318960425280563</v>
      </c>
    </row>
    <row r="6" spans="1:15" x14ac:dyDescent="0.35">
      <c r="A6" t="s">
        <v>0</v>
      </c>
      <c r="B6" s="8">
        <f>IF('Cattle and Markets'!B16=0,0,'Cattle and Markets'!B14)</f>
        <v>4300</v>
      </c>
      <c r="C6" s="8">
        <f>B6*'Cattle and Markets'!B17</f>
        <v>301000</v>
      </c>
      <c r="D6" s="12">
        <f t="shared" ref="D6:D8" si="0">C6/$C$8</f>
        <v>0.72661436330718165</v>
      </c>
      <c r="E6" s="8">
        <f>IF('Cattle and Markets'!C16=0,0,'Cattle and Markets'!C14)</f>
        <v>4400</v>
      </c>
      <c r="F6" s="8">
        <f>E6*'Cattle and Markets'!C17</f>
        <v>92400.000000000015</v>
      </c>
      <c r="G6" s="12">
        <f>F6/$F$8</f>
        <v>0.72770230360307153</v>
      </c>
    </row>
    <row r="7" spans="1:15" x14ac:dyDescent="0.35">
      <c r="A7" t="s">
        <v>80</v>
      </c>
      <c r="B7" s="8">
        <f>'Cattle and Markets'!B20*'Cattle and Markets'!B19</f>
        <v>2925</v>
      </c>
      <c r="C7" s="8">
        <f>B7*'Cattle and Markets'!B22</f>
        <v>29250</v>
      </c>
      <c r="D7" s="12">
        <f t="shared" si="0"/>
        <v>7.0609535304767657E-2</v>
      </c>
      <c r="E7" s="8">
        <f>'Cattle and Markets'!C20*'Cattle and Markets'!C19</f>
        <v>2925</v>
      </c>
      <c r="F7" s="8">
        <f>E7*'Cattle and Markets'!C22</f>
        <v>8775</v>
      </c>
      <c r="G7" s="12">
        <f>F7/$F$8</f>
        <v>6.9108092144122849E-2</v>
      </c>
    </row>
    <row r="8" spans="1:15" x14ac:dyDescent="0.35">
      <c r="A8" t="s">
        <v>8</v>
      </c>
      <c r="B8" s="8">
        <f>C8/'Cattle and Markets'!B4</f>
        <v>4142.5</v>
      </c>
      <c r="C8" s="8">
        <f>SUM(C5:C7)</f>
        <v>414250</v>
      </c>
      <c r="D8" s="12">
        <f t="shared" si="0"/>
        <v>1</v>
      </c>
      <c r="E8" s="8">
        <f>F8/'Cattle and Markets'!C4</f>
        <v>4232.5000000000009</v>
      </c>
      <c r="F8" s="8">
        <f>SUM(F5:F7)</f>
        <v>126975.00000000001</v>
      </c>
      <c r="G8" s="12">
        <f>F8/$F$8</f>
        <v>1</v>
      </c>
    </row>
    <row r="10" spans="1:15" ht="29" x14ac:dyDescent="0.35">
      <c r="A10" s="2" t="s">
        <v>2</v>
      </c>
      <c r="B10" s="115" t="s">
        <v>89</v>
      </c>
      <c r="C10" s="115" t="s">
        <v>12</v>
      </c>
      <c r="D10" s="45" t="s">
        <v>138</v>
      </c>
      <c r="E10" s="115" t="s">
        <v>89</v>
      </c>
      <c r="F10" s="115" t="s">
        <v>12</v>
      </c>
      <c r="G10" s="45" t="s">
        <v>138</v>
      </c>
    </row>
    <row r="11" spans="1:15" x14ac:dyDescent="0.35">
      <c r="A11" s="7" t="s">
        <v>7</v>
      </c>
      <c r="B11" s="60">
        <f>'Cattle and Markets'!B7*'Cattle and Markets'!B6</f>
        <v>2700</v>
      </c>
      <c r="C11" s="15">
        <f>B11*'Cattle and Markets'!$B$4</f>
        <v>270000</v>
      </c>
      <c r="D11" s="113">
        <f>C11/$C$22</f>
        <v>0.68329802387098493</v>
      </c>
      <c r="E11" s="60">
        <f>'Cattle and Markets'!C7*'Cattle and Markets'!C6</f>
        <v>2700</v>
      </c>
      <c r="F11" s="15">
        <f>E11*'Cattle and Markets'!$C$4</f>
        <v>81000</v>
      </c>
      <c r="G11" s="46">
        <f>F11/$F$22</f>
        <v>0.68177032936681492</v>
      </c>
    </row>
    <row r="12" spans="1:15" x14ac:dyDescent="0.35">
      <c r="A12" t="s">
        <v>142</v>
      </c>
      <c r="B12" s="9">
        <f>'Pasture and Feed'!B30</f>
        <v>772.65250000000003</v>
      </c>
      <c r="C12" s="15">
        <f>B12*'Cattle and Markets'!$B$4</f>
        <v>77265.25</v>
      </c>
      <c r="D12" s="113">
        <f>C12/$C$22</f>
        <v>0.19553775051443564</v>
      </c>
      <c r="E12" s="9">
        <f>'Pasture and Feed'!C30</f>
        <v>772.76666666666665</v>
      </c>
      <c r="F12" s="15">
        <f>E12*'Cattle and Markets'!$C$4</f>
        <v>23183</v>
      </c>
      <c r="G12" s="46">
        <f t="shared" ref="G12:G22" si="1">F12/$F$22</f>
        <v>0.19512940179889965</v>
      </c>
    </row>
    <row r="13" spans="1:15" x14ac:dyDescent="0.35">
      <c r="A13" t="s">
        <v>82</v>
      </c>
      <c r="B13" s="9">
        <f>'Tractor and Fuel'!B13</f>
        <v>3.5884991453694197</v>
      </c>
      <c r="C13" s="15">
        <f>B13*'Cattle and Markets'!$B$4</f>
        <v>358.84991453694198</v>
      </c>
      <c r="D13" s="11">
        <f>C13/$C$22</f>
        <v>9.0815347210875669E-4</v>
      </c>
      <c r="E13" s="9">
        <f>'Tractor and Fuel'!C13</f>
        <v>11.450358988126633</v>
      </c>
      <c r="F13" s="15">
        <f>E13*'Cattle and Markets'!$C$4</f>
        <v>343.51076964379899</v>
      </c>
      <c r="G13" s="79">
        <f t="shared" si="1"/>
        <v>2.8913018587790238E-3</v>
      </c>
      <c r="I13" s="8"/>
    </row>
    <row r="14" spans="1:15" x14ac:dyDescent="0.35">
      <c r="A14" t="s">
        <v>83</v>
      </c>
      <c r="B14" s="9">
        <f>'Tractor and Fuel'!B15+'Tractor and Fuel'!B18</f>
        <v>12.28176998290739</v>
      </c>
      <c r="C14" s="15">
        <f>B14*'Cattle and Markets'!$B$4</f>
        <v>1228.176998290739</v>
      </c>
      <c r="D14" s="11">
        <f>C14/$C$22</f>
        <v>3.1081885773920743E-3</v>
      </c>
      <c r="E14" s="9">
        <f>'Tractor and Fuel'!C15+'Tractor and Fuel'!C18</f>
        <v>40.929007179762536</v>
      </c>
      <c r="F14" s="15">
        <f>E14*'Cattle and Markets'!$C$4</f>
        <v>1227.8702153928762</v>
      </c>
      <c r="G14" s="79">
        <f t="shared" si="1"/>
        <v>1.033488248355683E-2</v>
      </c>
    </row>
    <row r="15" spans="1:15" x14ac:dyDescent="0.35">
      <c r="A15" t="s">
        <v>3</v>
      </c>
      <c r="B15" s="9">
        <f>'Vet and Health'!C21</f>
        <v>10.529666666666664</v>
      </c>
      <c r="C15" s="15">
        <f>B15*'Cattle and Markets'!$B$4</f>
        <v>1052.9666666666665</v>
      </c>
      <c r="D15" s="11">
        <f t="shared" ref="D15:D22" si="2">C15/$C$22</f>
        <v>2.6647779353161159E-3</v>
      </c>
      <c r="E15" s="9">
        <f>'Vet and Health'!D21</f>
        <v>10.529666666666664</v>
      </c>
      <c r="F15" s="15">
        <f>E15*'Cattle and Markets'!$C$4</f>
        <v>315.88999999999993</v>
      </c>
      <c r="G15" s="79">
        <f t="shared" si="1"/>
        <v>2.6588201153541127E-3</v>
      </c>
    </row>
    <row r="16" spans="1:15" x14ac:dyDescent="0.35">
      <c r="A16" t="s">
        <v>81</v>
      </c>
      <c r="B16" s="9">
        <f>Breeding!B23</f>
        <v>74.3</v>
      </c>
      <c r="C16" s="15">
        <f>B16*'Cattle and Markets'!$B$4</f>
        <v>7430</v>
      </c>
      <c r="D16" s="114">
        <f t="shared" si="2"/>
        <v>1.8803349323560807E-2</v>
      </c>
      <c r="E16" s="9">
        <f>Breeding!C23</f>
        <v>74.3</v>
      </c>
      <c r="F16" s="15">
        <f>E16*'Cattle and Markets'!$C$4</f>
        <v>2229</v>
      </c>
      <c r="G16" s="79">
        <f t="shared" si="1"/>
        <v>1.8761309434057166E-2</v>
      </c>
    </row>
    <row r="17" spans="1:18" x14ac:dyDescent="0.35">
      <c r="A17" s="19" t="s">
        <v>4</v>
      </c>
      <c r="B17" s="20">
        <f>Transportation!$B$27</f>
        <v>11.879999999999999</v>
      </c>
      <c r="C17" s="21">
        <f>B17*'Cattle and Markets'!$B$4</f>
        <v>1188</v>
      </c>
      <c r="D17" s="11">
        <f t="shared" si="2"/>
        <v>3.0065113050323339E-3</v>
      </c>
      <c r="E17" s="20">
        <f>Transportation!$C$27</f>
        <v>26.4</v>
      </c>
      <c r="F17" s="21">
        <f>E17*'Cattle and Markets'!$C$4</f>
        <v>792</v>
      </c>
      <c r="G17" s="79">
        <f t="shared" si="1"/>
        <v>6.6661987760310796E-3</v>
      </c>
    </row>
    <row r="18" spans="1:18" x14ac:dyDescent="0.35">
      <c r="A18" s="19" t="s">
        <v>5</v>
      </c>
      <c r="B18" s="20">
        <f>((B12+B14+B15+B16+(B17/2))*('Cattle and Markets'!$B$24/365)*'Pasture and Feed'!B4)</f>
        <v>56.920755882222309</v>
      </c>
      <c r="C18" s="21">
        <f>B18*'Cattle and Markets'!$B$4</f>
        <v>5692.0755882222311</v>
      </c>
      <c r="D18" s="12">
        <f t="shared" si="2"/>
        <v>1.4405125930209352E-2</v>
      </c>
      <c r="E18" s="20">
        <f>((E12+E14+E15+E16+(E17/2))*('Cattle and Markets'!$C$24/365)*'Pasture and Feed'!C4)</f>
        <v>47.86558037693753</v>
      </c>
      <c r="F18" s="21">
        <f>E18*'Cattle and Markets'!$C$4</f>
        <v>1435.967411308126</v>
      </c>
      <c r="G18" s="46">
        <f t="shared" si="1"/>
        <v>1.2086419444043872E-2</v>
      </c>
    </row>
    <row r="19" spans="1:18" x14ac:dyDescent="0.35">
      <c r="A19" s="19" t="s">
        <v>6</v>
      </c>
      <c r="B19" s="20">
        <f>B11*('Cattle and Markets'!$B$24/365)*'Pasture and Feed'!B4</f>
        <v>175.5</v>
      </c>
      <c r="C19" s="21">
        <f>B19*'Cattle and Markets'!$B$4</f>
        <v>17550</v>
      </c>
      <c r="D19" s="113">
        <f t="shared" si="2"/>
        <v>4.4414371551614019E-2</v>
      </c>
      <c r="E19" s="20">
        <f>E11*('Cattle and Markets'!$C$24/365)*'Pasture and Feed'!C4</f>
        <v>141.75</v>
      </c>
      <c r="F19" s="21">
        <f>E19*'Cattle and Markets'!$C$4</f>
        <v>4252.5</v>
      </c>
      <c r="G19" s="46">
        <f t="shared" si="1"/>
        <v>3.5792942291757786E-2</v>
      </c>
    </row>
    <row r="20" spans="1:18" x14ac:dyDescent="0.35">
      <c r="A20" s="19" t="s">
        <v>146</v>
      </c>
      <c r="B20" s="20">
        <f>Marketing!B16</f>
        <v>133.77049999999997</v>
      </c>
      <c r="C20" s="21">
        <f>B20*'Cattle and Markets'!$B$4</f>
        <v>13377.049999999997</v>
      </c>
      <c r="D20" s="12">
        <f t="shared" si="2"/>
        <v>3.3853747519345771E-2</v>
      </c>
      <c r="E20" s="20">
        <f>Marketing!C16</f>
        <v>134.28666666666663</v>
      </c>
      <c r="F20" s="21">
        <f>E20*'Cattle and Markets'!$C$4</f>
        <v>4028.599999999999</v>
      </c>
      <c r="G20" s="46">
        <f t="shared" si="1"/>
        <v>3.3908394430705556E-2</v>
      </c>
    </row>
    <row r="21" spans="1:18" x14ac:dyDescent="0.35">
      <c r="A21" s="19"/>
      <c r="B21" s="20"/>
      <c r="C21" s="21"/>
      <c r="D21" s="11"/>
      <c r="E21" s="20"/>
      <c r="F21" s="21"/>
      <c r="G21" s="46"/>
    </row>
    <row r="22" spans="1:18" x14ac:dyDescent="0.35">
      <c r="A22" t="s">
        <v>9</v>
      </c>
      <c r="B22" s="9">
        <f>SUM(B11:B20)</f>
        <v>3951.4236916771665</v>
      </c>
      <c r="C22" s="15">
        <f>B22*'Cattle and Markets'!$B$4</f>
        <v>395142.36916771665</v>
      </c>
      <c r="D22" s="12">
        <f t="shared" si="2"/>
        <v>1</v>
      </c>
      <c r="E22" s="9">
        <f>SUM(E11:E20)</f>
        <v>3960.2779465448266</v>
      </c>
      <c r="F22" s="15">
        <f>E22*'Cattle and Markets'!$C$4</f>
        <v>118808.3383963448</v>
      </c>
      <c r="G22" s="46">
        <f t="shared" si="1"/>
        <v>1</v>
      </c>
    </row>
    <row r="23" spans="1:18" x14ac:dyDescent="0.35">
      <c r="C23" s="8"/>
      <c r="E23" s="1"/>
      <c r="F23" s="8"/>
    </row>
    <row r="24" spans="1:18" x14ac:dyDescent="0.35">
      <c r="A24" s="22" t="s">
        <v>143</v>
      </c>
      <c r="B24" s="23">
        <f>B8-B22</f>
        <v>191.07630832283348</v>
      </c>
      <c r="C24" s="24">
        <f>B24*'Cattle and Markets'!$B$4</f>
        <v>19107.63083228335</v>
      </c>
      <c r="D24" s="41" t="s">
        <v>139</v>
      </c>
      <c r="E24" s="23">
        <f>E8-E22</f>
        <v>272.22205345517432</v>
      </c>
      <c r="F24" s="24">
        <f>E24*'Cattle and Markets'!$C$4</f>
        <v>8166.6616036552296</v>
      </c>
      <c r="G24" s="41" t="s">
        <v>139</v>
      </c>
    </row>
    <row r="26" spans="1:18" x14ac:dyDescent="0.35">
      <c r="A26" s="88" t="s">
        <v>188</v>
      </c>
      <c r="B26" s="1">
        <f>'Producer Set Up'!B20</f>
        <v>3.7949999999999999</v>
      </c>
      <c r="E26" s="1">
        <f>'Producer Set Up'!C20</f>
        <v>3.944</v>
      </c>
      <c r="I26" s="28"/>
      <c r="J26" s="29"/>
      <c r="K26" s="29"/>
      <c r="L26" s="29"/>
      <c r="M26" s="29"/>
      <c r="N26" s="29"/>
      <c r="O26" s="29"/>
      <c r="P26" s="6"/>
      <c r="Q26" s="6"/>
      <c r="R26" s="6"/>
    </row>
    <row r="27" spans="1:18" x14ac:dyDescent="0.35">
      <c r="A27" s="88" t="s">
        <v>189</v>
      </c>
      <c r="B27" s="8">
        <f>'Producer Set Up'!B21</f>
        <v>3374</v>
      </c>
      <c r="C27" s="8"/>
      <c r="D27" s="111"/>
      <c r="E27" s="8">
        <f>'Producer Set Up'!C21</f>
        <v>2935</v>
      </c>
      <c r="I27" s="29"/>
      <c r="J27" s="29"/>
      <c r="K27" s="29"/>
      <c r="L27" s="29"/>
      <c r="M27" s="29"/>
      <c r="N27" s="29"/>
      <c r="O27" s="29"/>
      <c r="P27" s="6"/>
      <c r="Q27" s="6"/>
      <c r="R27" s="6"/>
    </row>
    <row r="28" spans="1:18" x14ac:dyDescent="0.35">
      <c r="A28" s="88" t="s">
        <v>190</v>
      </c>
      <c r="B28" s="8">
        <f>'Producer Set Up'!B22</f>
        <v>4020</v>
      </c>
      <c r="C28" s="8"/>
      <c r="D28" s="111"/>
      <c r="E28" s="8">
        <f>'Producer Set Up'!C22</f>
        <v>4010</v>
      </c>
      <c r="I28" s="29"/>
      <c r="J28" s="29"/>
      <c r="K28" s="30"/>
      <c r="L28" s="29"/>
      <c r="M28" s="30"/>
      <c r="N28" s="30"/>
      <c r="O28" s="30"/>
      <c r="P28" s="6"/>
      <c r="Q28" s="6"/>
      <c r="R28" s="6"/>
    </row>
    <row r="29" spans="1:18" x14ac:dyDescent="0.35">
      <c r="A29" s="88" t="s">
        <v>191</v>
      </c>
      <c r="B29" s="1">
        <f>'Producer Set Up'!B23</f>
        <v>234</v>
      </c>
      <c r="E29" s="1">
        <f>'Producer Set Up'!C23</f>
        <v>271</v>
      </c>
      <c r="I29" s="29"/>
      <c r="J29" s="29"/>
      <c r="K29" s="29"/>
      <c r="L29" s="29"/>
      <c r="M29" s="29"/>
      <c r="N29" s="31"/>
      <c r="O29" s="29"/>
      <c r="P29" s="6"/>
      <c r="Q29" s="6"/>
      <c r="R29" s="6"/>
    </row>
    <row r="30" spans="1:18" x14ac:dyDescent="0.35">
      <c r="A30" s="88" t="s">
        <v>192</v>
      </c>
      <c r="B30" s="1">
        <f>'Producer Set Up'!B24</f>
        <v>144</v>
      </c>
      <c r="E30" s="1">
        <f>'Producer Set Up'!C24</f>
        <v>175</v>
      </c>
      <c r="I30" s="29"/>
      <c r="J30" s="29"/>
      <c r="K30" s="32"/>
      <c r="L30" s="29"/>
      <c r="M30" s="32"/>
      <c r="N30" s="31"/>
      <c r="O30" s="32"/>
      <c r="P30" s="6"/>
      <c r="Q30" s="6"/>
      <c r="R30" s="6"/>
    </row>
    <row r="31" spans="1:18" x14ac:dyDescent="0.35">
      <c r="I31" s="29"/>
      <c r="J31" s="29"/>
      <c r="K31" s="32"/>
      <c r="L31" s="29"/>
      <c r="M31" s="32"/>
      <c r="N31" s="31"/>
      <c r="O31" s="32"/>
      <c r="P31" s="6"/>
      <c r="Q31" s="6"/>
      <c r="R31" s="6"/>
    </row>
    <row r="32" spans="1:18" x14ac:dyDescent="0.35">
      <c r="I32" s="29"/>
      <c r="J32" s="33"/>
      <c r="K32" s="32"/>
      <c r="L32" s="29"/>
      <c r="M32" s="32"/>
      <c r="N32" s="29"/>
      <c r="O32" s="32"/>
      <c r="P32" s="6"/>
      <c r="Q32" s="6"/>
      <c r="R32" s="6"/>
    </row>
  </sheetData>
  <sheetProtection algorithmName="SHA-512" hashValue="1quGdwE8Wa1Dbs+tMB+WoZ6k6EbelBq0hbQ+7vhqGB9Ch7a71kqzmb5tA2KVwqBrG4om5Cop2lRu0naYK1iTJg==" saltValue="j6/QpsVthBl9y1L1hR/e3g==" spinCount="100000" sheet="1" objects="1" scenarios="1"/>
  <mergeCells count="3">
    <mergeCell ref="A1:G1"/>
    <mergeCell ref="E3:G3"/>
    <mergeCell ref="B3:D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1470F-2A6E-43C3-B323-5E11584D91DB}">
  <dimension ref="A1:E27"/>
  <sheetViews>
    <sheetView showGridLines="0" zoomScale="90" zoomScaleNormal="90" workbookViewId="0">
      <selection activeCell="H16" sqref="H16"/>
    </sheetView>
  </sheetViews>
  <sheetFormatPr defaultRowHeight="14.5" x14ac:dyDescent="0.35"/>
  <cols>
    <col min="1" max="1" width="48.1796875" customWidth="1"/>
    <col min="3" max="3" width="8.7265625" style="53"/>
    <col min="4" max="4" width="8.7265625" style="1"/>
  </cols>
  <sheetData>
    <row r="1" spans="1:5" x14ac:dyDescent="0.35">
      <c r="A1" s="80" t="s">
        <v>176</v>
      </c>
      <c r="B1" s="80"/>
      <c r="C1" s="80"/>
    </row>
    <row r="3" spans="1:5" ht="15" thickBot="1" x14ac:dyDescent="0.4">
      <c r="A3" s="14" t="s">
        <v>78</v>
      </c>
      <c r="B3" s="66" t="s">
        <v>174</v>
      </c>
      <c r="C3" s="65" t="s">
        <v>175</v>
      </c>
      <c r="D3" s="1" t="s">
        <v>121</v>
      </c>
    </row>
    <row r="4" spans="1:5" ht="15" thickBot="1" x14ac:dyDescent="0.4">
      <c r="A4" s="3" t="s">
        <v>55</v>
      </c>
      <c r="B4" s="35">
        <f>'Producer Set Up'!$B$4</f>
        <v>100</v>
      </c>
      <c r="C4" s="56">
        <f>'Producer Set Up'!$C$4</f>
        <v>30</v>
      </c>
    </row>
    <row r="5" spans="1:5" ht="15" thickBot="1" x14ac:dyDescent="0.4">
      <c r="A5" s="3"/>
      <c r="B5" s="35"/>
      <c r="C5" s="35"/>
    </row>
    <row r="6" spans="1:5" ht="15" thickBot="1" x14ac:dyDescent="0.4">
      <c r="A6" s="4" t="s">
        <v>164</v>
      </c>
      <c r="B6" s="36">
        <f>'Producer Set Up'!$B$5</f>
        <v>3.6</v>
      </c>
      <c r="C6" s="54">
        <f>'Producer Set Up'!$C$5</f>
        <v>3.6</v>
      </c>
    </row>
    <row r="7" spans="1:5" x14ac:dyDescent="0.35">
      <c r="A7" s="3" t="s">
        <v>90</v>
      </c>
      <c r="B7" s="35">
        <v>750</v>
      </c>
      <c r="C7" s="25">
        <v>750</v>
      </c>
    </row>
    <row r="8" spans="1:5" ht="15" thickBot="1" x14ac:dyDescent="0.4">
      <c r="A8" s="3"/>
      <c r="B8" s="64"/>
      <c r="C8" s="49"/>
    </row>
    <row r="9" spans="1:5" ht="15" thickBot="1" x14ac:dyDescent="0.4">
      <c r="A9" s="3" t="s">
        <v>165</v>
      </c>
      <c r="B9" s="35">
        <f>'Producer Set Up'!$B$7</f>
        <v>4200</v>
      </c>
      <c r="C9" s="56">
        <f>'Producer Set Up'!$C$7</f>
        <v>4300</v>
      </c>
      <c r="E9">
        <v>4100</v>
      </c>
    </row>
    <row r="10" spans="1:5" ht="15" thickBot="1" x14ac:dyDescent="0.4">
      <c r="A10" s="3" t="s">
        <v>92</v>
      </c>
      <c r="B10" s="35">
        <v>1100</v>
      </c>
      <c r="C10" s="25">
        <v>1100</v>
      </c>
      <c r="E10">
        <f>+B10*B9</f>
        <v>4620000</v>
      </c>
    </row>
    <row r="11" spans="1:5" ht="15" thickBot="1" x14ac:dyDescent="0.4">
      <c r="A11" s="3" t="s">
        <v>14</v>
      </c>
      <c r="B11" s="50">
        <f>'Producer Set Up'!$B$6</f>
        <v>0.2</v>
      </c>
      <c r="C11" s="67">
        <f>'Producer Set Up'!$C$6</f>
        <v>0.2</v>
      </c>
    </row>
    <row r="12" spans="1:5" x14ac:dyDescent="0.35">
      <c r="A12" s="3" t="s">
        <v>10</v>
      </c>
      <c r="B12" s="35">
        <f>B11*B4</f>
        <v>20</v>
      </c>
      <c r="C12" s="25">
        <f>C11*C4</f>
        <v>6</v>
      </c>
    </row>
    <row r="13" spans="1:5" ht="15" thickBot="1" x14ac:dyDescent="0.4">
      <c r="A13" s="3"/>
      <c r="B13" s="35"/>
      <c r="C13" s="25"/>
    </row>
    <row r="14" spans="1:5" ht="15" thickBot="1" x14ac:dyDescent="0.4">
      <c r="A14" s="3" t="s">
        <v>11</v>
      </c>
      <c r="B14" s="35">
        <f>'Producer Set Up'!$B$8</f>
        <v>4300</v>
      </c>
      <c r="C14" s="56">
        <f>'Producer Set Up'!$C$8</f>
        <v>4400</v>
      </c>
    </row>
    <row r="15" spans="1:5" x14ac:dyDescent="0.35">
      <c r="A15" s="3" t="s">
        <v>93</v>
      </c>
      <c r="B15" s="35">
        <v>1000</v>
      </c>
      <c r="C15" s="25">
        <v>1000</v>
      </c>
    </row>
    <row r="16" spans="1:5" x14ac:dyDescent="0.35">
      <c r="A16" s="3" t="s">
        <v>16</v>
      </c>
      <c r="B16" s="50">
        <f>1-B11-B21</f>
        <v>0.70000000000000007</v>
      </c>
      <c r="C16" s="50">
        <f>1-C11-C21</f>
        <v>0.70000000000000007</v>
      </c>
    </row>
    <row r="17" spans="1:3" x14ac:dyDescent="0.35">
      <c r="A17" s="3" t="s">
        <v>60</v>
      </c>
      <c r="B17" s="35">
        <f>B16*B4</f>
        <v>70</v>
      </c>
      <c r="C17" s="25">
        <f>C16*C4</f>
        <v>21.000000000000004</v>
      </c>
    </row>
    <row r="18" spans="1:3" ht="15" thickBot="1" x14ac:dyDescent="0.4">
      <c r="A18" s="3"/>
      <c r="B18" s="69"/>
      <c r="C18" s="52"/>
    </row>
    <row r="19" spans="1:3" ht="15" thickBot="1" x14ac:dyDescent="0.4">
      <c r="A19" s="3" t="s">
        <v>91</v>
      </c>
      <c r="B19" s="36">
        <f>'Producer Set Up'!$B$9</f>
        <v>3.25</v>
      </c>
      <c r="C19" s="54">
        <f>'Producer Set Up'!$C$9</f>
        <v>3.25</v>
      </c>
    </row>
    <row r="20" spans="1:3" x14ac:dyDescent="0.35">
      <c r="A20" s="3" t="s">
        <v>94</v>
      </c>
      <c r="B20" s="35">
        <v>900</v>
      </c>
      <c r="C20" s="25">
        <v>900</v>
      </c>
    </row>
    <row r="21" spans="1:3" x14ac:dyDescent="0.35">
      <c r="A21" s="3" t="s">
        <v>15</v>
      </c>
      <c r="B21" s="50">
        <v>0.1</v>
      </c>
      <c r="C21" s="51">
        <v>0.1</v>
      </c>
    </row>
    <row r="22" spans="1:3" x14ac:dyDescent="0.35">
      <c r="A22" s="3" t="s">
        <v>13</v>
      </c>
      <c r="B22" s="35">
        <f>B4*B21</f>
        <v>10</v>
      </c>
      <c r="C22" s="25">
        <f>C4*C21</f>
        <v>3</v>
      </c>
    </row>
    <row r="23" spans="1:3" ht="15" thickBot="1" x14ac:dyDescent="0.4">
      <c r="A23" s="3"/>
      <c r="B23" s="36"/>
      <c r="C23" s="26"/>
    </row>
    <row r="24" spans="1:3" ht="15" thickBot="1" x14ac:dyDescent="0.4">
      <c r="A24" s="3" t="s">
        <v>53</v>
      </c>
      <c r="B24" s="37">
        <f>'Producer Set Up'!$B$15</f>
        <v>6.5000000000000002E-2</v>
      </c>
      <c r="C24" s="68">
        <f>'Producer Set Up'!$C$15</f>
        <v>5.2499999999999998E-2</v>
      </c>
    </row>
    <row r="25" spans="1:3" x14ac:dyDescent="0.35">
      <c r="A25" s="3"/>
      <c r="B25" s="64"/>
      <c r="C25" s="49"/>
    </row>
    <row r="26" spans="1:3" x14ac:dyDescent="0.35">
      <c r="A26" s="5" t="s">
        <v>72</v>
      </c>
      <c r="B26" s="70">
        <f>B24+0.01</f>
        <v>7.4999999999999997E-2</v>
      </c>
      <c r="C26" s="70">
        <f>C24+0.01</f>
        <v>6.25E-2</v>
      </c>
    </row>
    <row r="27" spans="1:3" x14ac:dyDescent="0.35">
      <c r="A27" s="84"/>
      <c r="B27" s="84"/>
      <c r="C27" s="84"/>
    </row>
  </sheetData>
  <sheetProtection algorithmName="SHA-512" hashValue="BjJ9fN5eJ+H6FOProci/7uzuGq4rK0MRfwCoOT4pq7EbYw+dHBDcgc90na5SXafMvT+/R+8qMgNkKXHb/Ee7ig==" saltValue="sSipY3ey2x09VXN1wpaHhw==" spinCount="100000" sheet="1" objects="1" scenarios="1" selectLockedCells="1" selectUnlockedCells="1"/>
  <protectedRanges>
    <protectedRange algorithmName="SHA-512" hashValue="3DBaUImabyQH/HHfqDclv0ajZgzGr7fDd7mu/AKvqIHP6T1hkSqFzfS9iv8jq9MjJlg7uJ+wFTOIHYtnLNoeRw==" saltValue="HHfP1pG502zrIkPGOFp+3A==" spinCount="100000" sqref="B11:C11 B14:C14 B19:C19 B24:C24 B4:C6 B26:C26" name="Range1" securityDescriptor="O:WDG:WDD:(A;;CC;;;S-1-5-21-145012770-2172889430-2296263792-233882)"/>
  </protectedRanges>
  <mergeCells count="2">
    <mergeCell ref="A1:C1"/>
    <mergeCell ref="A27:C2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D6690-767D-4AB9-BFE9-3B5CF7515619}">
  <dimension ref="A1:E31"/>
  <sheetViews>
    <sheetView showGridLines="0" zoomScale="90" zoomScaleNormal="90" workbookViewId="0">
      <selection activeCell="F5" sqref="F5"/>
    </sheetView>
  </sheetViews>
  <sheetFormatPr defaultRowHeight="14.5" x14ac:dyDescent="0.35"/>
  <cols>
    <col min="1" max="1" width="51.81640625" customWidth="1"/>
  </cols>
  <sheetData>
    <row r="1" spans="1:4" x14ac:dyDescent="0.35">
      <c r="A1" s="80" t="s">
        <v>88</v>
      </c>
      <c r="B1" s="80"/>
      <c r="C1" s="80"/>
    </row>
    <row r="3" spans="1:4" x14ac:dyDescent="0.35">
      <c r="A3" s="22" t="s">
        <v>78</v>
      </c>
      <c r="B3" s="71" t="s">
        <v>174</v>
      </c>
      <c r="C3" s="72" t="s">
        <v>175</v>
      </c>
      <c r="D3" t="s">
        <v>121</v>
      </c>
    </row>
    <row r="4" spans="1:4" x14ac:dyDescent="0.35">
      <c r="A4" s="3" t="s">
        <v>54</v>
      </c>
      <c r="B4" s="25">
        <v>365</v>
      </c>
      <c r="C4" s="25">
        <v>365</v>
      </c>
    </row>
    <row r="5" spans="1:4" ht="15" thickBot="1" x14ac:dyDescent="0.4">
      <c r="A5" s="16" t="s">
        <v>57</v>
      </c>
      <c r="B5" s="35">
        <v>180</v>
      </c>
      <c r="C5" s="35">
        <v>180</v>
      </c>
    </row>
    <row r="6" spans="1:4" ht="15" thickBot="1" x14ac:dyDescent="0.4">
      <c r="A6" s="3" t="s">
        <v>41</v>
      </c>
      <c r="B6" s="36">
        <f>'Producer Set Up'!$B$10</f>
        <v>30</v>
      </c>
      <c r="C6" s="54">
        <f>'Producer Set Up'!$C$10</f>
        <v>30</v>
      </c>
    </row>
    <row r="7" spans="1:4" ht="15" thickBot="1" x14ac:dyDescent="0.4">
      <c r="A7" s="3" t="s">
        <v>63</v>
      </c>
      <c r="B7" s="36">
        <v>8</v>
      </c>
      <c r="C7" s="54">
        <v>8</v>
      </c>
    </row>
    <row r="8" spans="1:4" ht="15" thickBot="1" x14ac:dyDescent="0.4">
      <c r="A8" s="3" t="s">
        <v>64</v>
      </c>
      <c r="B8" s="36">
        <f>B6*B7</f>
        <v>240</v>
      </c>
      <c r="C8" s="26">
        <f>C6*C7</f>
        <v>240</v>
      </c>
    </row>
    <row r="9" spans="1:4" ht="15" thickBot="1" x14ac:dyDescent="0.4">
      <c r="A9" s="3" t="s">
        <v>65</v>
      </c>
      <c r="B9" s="36">
        <f>B7+2</f>
        <v>10</v>
      </c>
      <c r="C9" s="54">
        <f>C7+2</f>
        <v>10</v>
      </c>
    </row>
    <row r="10" spans="1:4" x14ac:dyDescent="0.35">
      <c r="A10" s="3" t="s">
        <v>122</v>
      </c>
      <c r="B10" s="36">
        <f>+B9*Breeding!B13</f>
        <v>30</v>
      </c>
      <c r="C10" s="26">
        <f>+C9*Breeding!C13</f>
        <v>10</v>
      </c>
    </row>
    <row r="11" spans="1:4" x14ac:dyDescent="0.35">
      <c r="A11" s="3" t="s">
        <v>118</v>
      </c>
      <c r="B11" s="36">
        <f>((B6/12)*B10)/'Cattle and Markets'!B4</f>
        <v>0.75</v>
      </c>
      <c r="C11" s="26">
        <f>((C6/12)*C10)/'Cattle and Markets'!C4</f>
        <v>0.83333333333333337</v>
      </c>
    </row>
    <row r="12" spans="1:4" x14ac:dyDescent="0.35">
      <c r="A12" s="38" t="s">
        <v>76</v>
      </c>
      <c r="B12" s="73">
        <f>B8+B11</f>
        <v>240.75</v>
      </c>
      <c r="C12" s="55">
        <f>C8+C11</f>
        <v>240.83333333333334</v>
      </c>
    </row>
    <row r="13" spans="1:4" x14ac:dyDescent="0.35">
      <c r="A13" s="38"/>
      <c r="B13" s="73"/>
      <c r="C13" s="55"/>
    </row>
    <row r="14" spans="1:4" x14ac:dyDescent="0.35">
      <c r="A14" s="16" t="s">
        <v>59</v>
      </c>
      <c r="B14" s="35">
        <f>B4-B5</f>
        <v>185</v>
      </c>
      <c r="C14" s="25">
        <f>C4-C5</f>
        <v>185</v>
      </c>
    </row>
    <row r="15" spans="1:4" ht="15" thickBot="1" x14ac:dyDescent="0.4">
      <c r="A15" s="3" t="s">
        <v>101</v>
      </c>
      <c r="B15" s="36">
        <f>0.025*(('Cattle and Markets'!B7+'Cattle and Markets'!B10)/2)</f>
        <v>23.125</v>
      </c>
      <c r="C15" s="26">
        <f>0.025*(('Cattle and Markets'!C7+'Cattle and Markets'!C10)/2)</f>
        <v>23.125</v>
      </c>
      <c r="D15" t="s">
        <v>182</v>
      </c>
    </row>
    <row r="16" spans="1:4" ht="15" thickBot="1" x14ac:dyDescent="0.4">
      <c r="A16" s="3" t="s">
        <v>40</v>
      </c>
      <c r="B16" s="35">
        <f>'Producer Set Up'!$B$11</f>
        <v>150</v>
      </c>
      <c r="C16" s="56">
        <f>'Producer Set Up'!$C$11</f>
        <v>150</v>
      </c>
    </row>
    <row r="17" spans="1:5" x14ac:dyDescent="0.35">
      <c r="A17" s="3" t="s">
        <v>95</v>
      </c>
      <c r="B17" s="36">
        <f>B16/2000</f>
        <v>7.4999999999999997E-2</v>
      </c>
      <c r="C17" s="26">
        <f>C16/2000</f>
        <v>7.4999999999999997E-2</v>
      </c>
      <c r="E17" s="6"/>
    </row>
    <row r="18" spans="1:5" x14ac:dyDescent="0.35">
      <c r="A18" s="38" t="s">
        <v>96</v>
      </c>
      <c r="B18" s="73">
        <f>(B14*B15*B17)</f>
        <v>320.859375</v>
      </c>
      <c r="C18" s="55">
        <f>(C14*C15*C17)</f>
        <v>320.859375</v>
      </c>
    </row>
    <row r="19" spans="1:5" x14ac:dyDescent="0.35">
      <c r="A19" s="16" t="s">
        <v>56</v>
      </c>
      <c r="B19" s="35">
        <f>B14</f>
        <v>185</v>
      </c>
      <c r="C19" s="25">
        <f>C14</f>
        <v>185</v>
      </c>
    </row>
    <row r="20" spans="1:5" ht="15" thickBot="1" x14ac:dyDescent="0.4">
      <c r="A20" s="3" t="s">
        <v>97</v>
      </c>
      <c r="B20" s="36">
        <f>0.03*(('Cattle and Markets'!B7+'Cattle and Markets'!B10)/2)</f>
        <v>27.75</v>
      </c>
      <c r="C20" s="26">
        <f>0.03*(('Cattle and Markets'!C7+'Cattle and Markets'!C10)/2)</f>
        <v>27.75</v>
      </c>
      <c r="D20" t="s">
        <v>183</v>
      </c>
    </row>
    <row r="21" spans="1:5" ht="15" thickBot="1" x14ac:dyDescent="0.4">
      <c r="A21" s="3" t="s">
        <v>58</v>
      </c>
      <c r="B21" s="36">
        <f>'Producer Set Up'!$B$12</f>
        <v>75</v>
      </c>
      <c r="C21" s="54">
        <f>'Producer Set Up'!$C$12</f>
        <v>75</v>
      </c>
    </row>
    <row r="22" spans="1:5" x14ac:dyDescent="0.35">
      <c r="A22" s="3" t="s">
        <v>98</v>
      </c>
      <c r="B22" s="36">
        <f>B21/2000</f>
        <v>3.7499999999999999E-2</v>
      </c>
      <c r="C22" s="26">
        <f>C21/2000</f>
        <v>3.7499999999999999E-2</v>
      </c>
    </row>
    <row r="23" spans="1:5" x14ac:dyDescent="0.35">
      <c r="A23" s="38" t="s">
        <v>99</v>
      </c>
      <c r="B23" s="73">
        <f>B19*B20*B22</f>
        <v>192.515625</v>
      </c>
      <c r="C23" s="55">
        <f>C19*C20*C22</f>
        <v>192.515625</v>
      </c>
    </row>
    <row r="24" spans="1:5" x14ac:dyDescent="0.35">
      <c r="A24" s="3" t="s">
        <v>100</v>
      </c>
      <c r="B24" s="36">
        <v>10</v>
      </c>
      <c r="C24" s="36">
        <v>10</v>
      </c>
    </row>
    <row r="25" spans="1:5" x14ac:dyDescent="0.35">
      <c r="A25" s="3" t="s">
        <v>67</v>
      </c>
      <c r="B25" s="74">
        <f>B24/(50*16)</f>
        <v>1.2500000000000001E-2</v>
      </c>
      <c r="C25" s="57">
        <f>C24/(50*16)</f>
        <v>1.2500000000000001E-2</v>
      </c>
    </row>
    <row r="26" spans="1:5" x14ac:dyDescent="0.35">
      <c r="A26" s="3" t="s">
        <v>117</v>
      </c>
      <c r="B26" s="36">
        <v>4</v>
      </c>
      <c r="C26" s="36">
        <v>4</v>
      </c>
    </row>
    <row r="27" spans="1:5" x14ac:dyDescent="0.35">
      <c r="A27" s="38" t="s">
        <v>141</v>
      </c>
      <c r="B27" s="73">
        <f>B25*B26*B4</f>
        <v>18.25</v>
      </c>
      <c r="C27" s="55">
        <f>C25*C26*C4</f>
        <v>18.25</v>
      </c>
    </row>
    <row r="28" spans="1:5" x14ac:dyDescent="0.35">
      <c r="A28" s="38" t="s">
        <v>68</v>
      </c>
      <c r="B28" s="73">
        <f>(B25*B26*B19*Breeding!B13)/'Cattle and Markets'!B4</f>
        <v>0.27750000000000002</v>
      </c>
      <c r="C28" s="55">
        <f>(C25*C26*C19*Breeding!C13)/'Cattle and Markets'!C4</f>
        <v>0.30833333333333335</v>
      </c>
    </row>
    <row r="29" spans="1:5" x14ac:dyDescent="0.35">
      <c r="B29" s="1"/>
      <c r="C29" s="49"/>
    </row>
    <row r="30" spans="1:5" x14ac:dyDescent="0.35">
      <c r="A30" s="14" t="s">
        <v>140</v>
      </c>
      <c r="B30" s="39">
        <f>B12+B18+B23+B27+B28</f>
        <v>772.65250000000003</v>
      </c>
      <c r="C30" s="58">
        <f>C12+C18+C23+C27+C28</f>
        <v>772.76666666666665</v>
      </c>
    </row>
    <row r="31" spans="1:5" x14ac:dyDescent="0.35">
      <c r="A31" s="85"/>
      <c r="B31" s="85"/>
    </row>
  </sheetData>
  <sheetProtection algorithmName="SHA-512" hashValue="xMeMuUrDO/V/Ny02JCe57YDEa+EYZcyxDNHmNQdmuzafabrz5Zcnqrrgjbn5575ckUQo7C+YOKeBKheWGrgmjw==" saltValue="7Iy/yeRCdQAnvC1cQx3+SA==" spinCount="100000" sheet="1" objects="1" scenarios="1"/>
  <mergeCells count="2">
    <mergeCell ref="A31:B31"/>
    <mergeCell ref="A1:C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FA5D8-EAF7-4197-A8DB-035C764EAEF6}">
  <dimension ref="A1:C21"/>
  <sheetViews>
    <sheetView showGridLines="0" workbookViewId="0">
      <selection activeCell="G17" sqref="G17"/>
    </sheetView>
  </sheetViews>
  <sheetFormatPr defaultRowHeight="14.5" x14ac:dyDescent="0.35"/>
  <cols>
    <col min="1" max="1" width="45.453125" bestFit="1" customWidth="1"/>
    <col min="2" max="2" width="11" customWidth="1"/>
  </cols>
  <sheetData>
    <row r="1" spans="1:3" x14ac:dyDescent="0.35">
      <c r="A1" s="86" t="s">
        <v>87</v>
      </c>
      <c r="B1" s="86"/>
      <c r="C1" s="86"/>
    </row>
    <row r="3" spans="1:3" ht="15" thickBot="1" x14ac:dyDescent="0.4">
      <c r="A3" s="27" t="s">
        <v>79</v>
      </c>
      <c r="B3" s="71" t="s">
        <v>174</v>
      </c>
      <c r="C3" s="65" t="s">
        <v>175</v>
      </c>
    </row>
    <row r="4" spans="1:3" ht="15" thickBot="1" x14ac:dyDescent="0.4">
      <c r="A4" t="s">
        <v>48</v>
      </c>
      <c r="B4" s="35">
        <v>60000</v>
      </c>
      <c r="C4" s="56">
        <v>60000</v>
      </c>
    </row>
    <row r="5" spans="1:3" ht="15" thickBot="1" x14ac:dyDescent="0.4">
      <c r="A5" t="s">
        <v>42</v>
      </c>
      <c r="B5" s="64">
        <v>7</v>
      </c>
      <c r="C5" s="62">
        <v>7</v>
      </c>
    </row>
    <row r="6" spans="1:3" ht="15" thickBot="1" x14ac:dyDescent="0.4">
      <c r="A6" t="s">
        <v>69</v>
      </c>
      <c r="B6" s="37">
        <f>'Cattle and Markets'!$B$26</f>
        <v>7.4999999999999997E-2</v>
      </c>
      <c r="C6" s="37">
        <f>'Cattle and Markets'!$C$26</f>
        <v>6.25E-2</v>
      </c>
    </row>
    <row r="7" spans="1:3" ht="15" thickBot="1" x14ac:dyDescent="0.4">
      <c r="A7" t="s">
        <v>43</v>
      </c>
      <c r="B7" s="35">
        <v>15000</v>
      </c>
      <c r="C7" s="56">
        <v>15000</v>
      </c>
    </row>
    <row r="8" spans="1:3" x14ac:dyDescent="0.35">
      <c r="A8" t="s">
        <v>70</v>
      </c>
      <c r="B8" s="63">
        <f>-PMT(B6,B5,(B4-B7))</f>
        <v>8496.0141928205721</v>
      </c>
      <c r="C8" s="63">
        <f>PMT(C6,C5,-(C4-C7))</f>
        <v>8132.8495731883231</v>
      </c>
    </row>
    <row r="9" spans="1:3" x14ac:dyDescent="0.35">
      <c r="A9" t="s">
        <v>44</v>
      </c>
      <c r="B9" s="59">
        <v>2</v>
      </c>
      <c r="C9" s="59">
        <v>2</v>
      </c>
    </row>
    <row r="10" spans="1:3" x14ac:dyDescent="0.35">
      <c r="A10" t="s">
        <v>46</v>
      </c>
      <c r="B10" s="64">
        <f>+B9*'Pasture and Feed'!B14</f>
        <v>370</v>
      </c>
      <c r="C10" s="64">
        <f>+C9*'Pasture and Feed'!C14</f>
        <v>370</v>
      </c>
    </row>
    <row r="11" spans="1:3" x14ac:dyDescent="0.35">
      <c r="A11" t="s">
        <v>45</v>
      </c>
      <c r="B11" s="35">
        <f>365*24</f>
        <v>8760</v>
      </c>
      <c r="C11" s="35">
        <f>365*24</f>
        <v>8760</v>
      </c>
    </row>
    <row r="12" spans="1:3" x14ac:dyDescent="0.35">
      <c r="A12" t="s">
        <v>47</v>
      </c>
      <c r="B12" s="37">
        <f>B10/B11</f>
        <v>4.2237442922374427E-2</v>
      </c>
      <c r="C12" s="37">
        <f>C10/C11</f>
        <v>4.2237442922374427E-2</v>
      </c>
    </row>
    <row r="13" spans="1:3" ht="15" thickBot="1" x14ac:dyDescent="0.4">
      <c r="A13" t="s">
        <v>102</v>
      </c>
      <c r="B13" s="59">
        <f>(B12*B8)/'Cattle and Markets'!B4</f>
        <v>3.5884991453694197</v>
      </c>
      <c r="C13" s="59">
        <f>(C12*C8)/'Cattle and Markets'!C4</f>
        <v>11.450358988126633</v>
      </c>
    </row>
    <row r="14" spans="1:3" ht="15" thickBot="1" x14ac:dyDescent="0.4">
      <c r="A14" s="3" t="s">
        <v>49</v>
      </c>
      <c r="B14" s="36">
        <f>'Producer Set Up'!$B$14</f>
        <v>3.3</v>
      </c>
      <c r="C14" s="54">
        <f>'Producer Set Up'!$C$14</f>
        <v>3.3</v>
      </c>
    </row>
    <row r="15" spans="1:3" x14ac:dyDescent="0.35">
      <c r="A15" s="3" t="s">
        <v>103</v>
      </c>
      <c r="B15" s="36">
        <f>(B14*B9*'Pasture and Feed'!B14)/'Cattle and Markets'!B4</f>
        <v>12.21</v>
      </c>
      <c r="C15" s="36">
        <f>(C14*C9*'Pasture and Feed'!C14)/'Cattle and Markets'!C4</f>
        <v>40.700000000000003</v>
      </c>
    </row>
    <row r="16" spans="1:3" x14ac:dyDescent="0.35">
      <c r="A16" s="3" t="s">
        <v>50</v>
      </c>
      <c r="B16" s="37">
        <v>0.02</v>
      </c>
      <c r="C16" s="37">
        <v>0.02</v>
      </c>
    </row>
    <row r="17" spans="1:3" x14ac:dyDescent="0.35">
      <c r="A17" s="3" t="s">
        <v>51</v>
      </c>
      <c r="B17" s="61">
        <f>B16*B8*B12</f>
        <v>7.1769982907388394</v>
      </c>
      <c r="C17" s="59">
        <f>C16*C8*C12</f>
        <v>6.8702153928759806</v>
      </c>
    </row>
    <row r="18" spans="1:3" x14ac:dyDescent="0.35">
      <c r="A18" s="3" t="s">
        <v>104</v>
      </c>
      <c r="B18" s="61">
        <f>B17/'Cattle and Markets'!B4</f>
        <v>7.1769982907388397E-2</v>
      </c>
      <c r="C18" s="59">
        <f>C17/'Cattle and Markets'!C4</f>
        <v>0.22900717976253268</v>
      </c>
    </row>
    <row r="19" spans="1:3" x14ac:dyDescent="0.35">
      <c r="B19" s="1"/>
      <c r="C19" s="64"/>
    </row>
    <row r="20" spans="1:3" x14ac:dyDescent="0.35">
      <c r="A20" s="14" t="s">
        <v>105</v>
      </c>
      <c r="B20" s="39">
        <f>B13+B15+B18</f>
        <v>15.87026912827681</v>
      </c>
      <c r="C20" s="58">
        <f>C13+C15+C18</f>
        <v>52.379366167889167</v>
      </c>
    </row>
    <row r="21" spans="1:3" x14ac:dyDescent="0.35">
      <c r="A21" s="85"/>
      <c r="B21" s="85"/>
    </row>
  </sheetData>
  <sheetProtection algorithmName="SHA-512" hashValue="r+pmlDIIiHxHtNa7r37ZZeB5PdmiF5O8DVMr+Ti0ZOseVAulhM8DEkBxYP/0KOh2nC3uGQvqlL6psoNuVMVI8g==" saltValue="L2WQtsN/LTQJihbwa1Nddw==" spinCount="100000" sheet="1" objects="1" scenarios="1"/>
  <mergeCells count="2">
    <mergeCell ref="A21:B21"/>
    <mergeCell ref="A1:C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A2E0D-CB20-4320-B416-DEF3A6223553}">
  <dimension ref="A1:D22"/>
  <sheetViews>
    <sheetView showGridLines="0" workbookViewId="0">
      <selection activeCell="H21" sqref="H21"/>
    </sheetView>
  </sheetViews>
  <sheetFormatPr defaultRowHeight="14.5" x14ac:dyDescent="0.35"/>
  <cols>
    <col min="1" max="1" width="34.90625" bestFit="1" customWidth="1"/>
    <col min="2" max="2" width="15.453125" bestFit="1" customWidth="1"/>
  </cols>
  <sheetData>
    <row r="1" spans="1:4" x14ac:dyDescent="0.35">
      <c r="A1" s="80" t="s">
        <v>86</v>
      </c>
      <c r="B1" s="80"/>
      <c r="C1" s="80"/>
      <c r="D1" s="80"/>
    </row>
    <row r="3" spans="1:4" x14ac:dyDescent="0.35">
      <c r="A3" s="14" t="s">
        <v>78</v>
      </c>
      <c r="B3" s="14" t="s">
        <v>22</v>
      </c>
      <c r="C3" s="71" t="s">
        <v>174</v>
      </c>
      <c r="D3" s="72" t="s">
        <v>175</v>
      </c>
    </row>
    <row r="4" spans="1:4" x14ac:dyDescent="0.35">
      <c r="A4" s="16" t="s">
        <v>28</v>
      </c>
      <c r="B4" s="3"/>
      <c r="C4" s="9"/>
      <c r="D4" s="26"/>
    </row>
    <row r="5" spans="1:4" x14ac:dyDescent="0.35">
      <c r="A5" s="3" t="s">
        <v>34</v>
      </c>
      <c r="B5" s="3" t="s">
        <v>24</v>
      </c>
      <c r="C5" s="36">
        <v>2.2799999999999998</v>
      </c>
      <c r="D5" s="36">
        <v>2.2799999999999998</v>
      </c>
    </row>
    <row r="6" spans="1:4" x14ac:dyDescent="0.35">
      <c r="A6" s="3" t="s">
        <v>35</v>
      </c>
      <c r="B6" s="3" t="s">
        <v>25</v>
      </c>
      <c r="C6" s="36">
        <v>4.3499999999999996</v>
      </c>
      <c r="D6" s="36">
        <v>4.3499999999999996</v>
      </c>
    </row>
    <row r="7" spans="1:4" x14ac:dyDescent="0.35">
      <c r="A7" s="3" t="s">
        <v>36</v>
      </c>
      <c r="B7" s="3" t="s">
        <v>26</v>
      </c>
      <c r="C7" s="36">
        <v>1.1399999999999999</v>
      </c>
      <c r="D7" s="36">
        <v>1.1399999999999999</v>
      </c>
    </row>
    <row r="8" spans="1:4" x14ac:dyDescent="0.35">
      <c r="A8" s="3" t="s">
        <v>37</v>
      </c>
      <c r="B8" s="3" t="s">
        <v>27</v>
      </c>
      <c r="C8" s="36">
        <v>1.58</v>
      </c>
      <c r="D8" s="36">
        <v>1.58</v>
      </c>
    </row>
    <row r="9" spans="1:4" x14ac:dyDescent="0.35">
      <c r="A9" s="3" t="s">
        <v>38</v>
      </c>
      <c r="B9" s="3" t="s">
        <v>32</v>
      </c>
      <c r="C9" s="36">
        <v>0.84</v>
      </c>
      <c r="D9" s="36">
        <v>0.84</v>
      </c>
    </row>
    <row r="10" spans="1:4" x14ac:dyDescent="0.35">
      <c r="A10" s="3" t="s">
        <v>39</v>
      </c>
      <c r="B10" s="13"/>
      <c r="C10" s="36">
        <f>SUM(C5:C9)</f>
        <v>10.189999999999998</v>
      </c>
      <c r="D10" s="36">
        <f>SUM(D5:D9)</f>
        <v>10.189999999999998</v>
      </c>
    </row>
    <row r="11" spans="1:4" x14ac:dyDescent="0.35">
      <c r="A11" s="3"/>
      <c r="B11" s="13"/>
      <c r="C11" s="36"/>
      <c r="D11" s="26"/>
    </row>
    <row r="12" spans="1:4" x14ac:dyDescent="0.35">
      <c r="A12" s="17" t="s">
        <v>29</v>
      </c>
      <c r="B12" s="3"/>
      <c r="C12" s="64"/>
      <c r="D12" s="49"/>
    </row>
    <row r="13" spans="1:4" x14ac:dyDescent="0.35">
      <c r="A13" s="3" t="s">
        <v>34</v>
      </c>
      <c r="B13" s="3" t="s">
        <v>31</v>
      </c>
      <c r="C13" s="36">
        <f t="shared" ref="C13:D17" si="0">C5</f>
        <v>2.2799999999999998</v>
      </c>
      <c r="D13" s="26">
        <f t="shared" si="0"/>
        <v>2.2799999999999998</v>
      </c>
    </row>
    <row r="14" spans="1:4" x14ac:dyDescent="0.35">
      <c r="A14" s="3" t="s">
        <v>35</v>
      </c>
      <c r="B14" s="3" t="s">
        <v>25</v>
      </c>
      <c r="C14" s="36">
        <f t="shared" si="0"/>
        <v>4.3499999999999996</v>
      </c>
      <c r="D14" s="26">
        <f t="shared" si="0"/>
        <v>4.3499999999999996</v>
      </c>
    </row>
    <row r="15" spans="1:4" x14ac:dyDescent="0.35">
      <c r="A15" s="3" t="s">
        <v>36</v>
      </c>
      <c r="B15" s="3" t="s">
        <v>26</v>
      </c>
      <c r="C15" s="36">
        <f t="shared" si="0"/>
        <v>1.1399999999999999</v>
      </c>
      <c r="D15" s="26">
        <f t="shared" si="0"/>
        <v>1.1399999999999999</v>
      </c>
    </row>
    <row r="16" spans="1:4" x14ac:dyDescent="0.35">
      <c r="A16" s="3" t="s">
        <v>37</v>
      </c>
      <c r="B16" s="3" t="s">
        <v>27</v>
      </c>
      <c r="C16" s="36">
        <f t="shared" si="0"/>
        <v>1.58</v>
      </c>
      <c r="D16" s="26">
        <f t="shared" si="0"/>
        <v>1.58</v>
      </c>
    </row>
    <row r="17" spans="1:4" x14ac:dyDescent="0.35">
      <c r="A17" s="3" t="s">
        <v>38</v>
      </c>
      <c r="B17" s="3" t="s">
        <v>32</v>
      </c>
      <c r="C17" s="36">
        <f t="shared" si="0"/>
        <v>0.84</v>
      </c>
      <c r="D17" s="26">
        <f t="shared" si="0"/>
        <v>0.84</v>
      </c>
    </row>
    <row r="18" spans="1:4" x14ac:dyDescent="0.35">
      <c r="A18" s="3" t="s">
        <v>62</v>
      </c>
      <c r="B18" s="3"/>
      <c r="C18" s="36">
        <f>SUM(C13:C17)</f>
        <v>10.189999999999998</v>
      </c>
      <c r="D18" s="26">
        <f>SUM(D13:D17)</f>
        <v>10.189999999999998</v>
      </c>
    </row>
    <row r="19" spans="1:4" x14ac:dyDescent="0.35">
      <c r="A19" s="3" t="s">
        <v>61</v>
      </c>
      <c r="B19" s="3"/>
      <c r="C19" s="36">
        <f>SUM(C13:C17)/Breeding!B12</f>
        <v>0.33966666666666662</v>
      </c>
      <c r="D19" s="26">
        <f>SUM(D13:D17)/Breeding!C12</f>
        <v>0.33966666666666662</v>
      </c>
    </row>
    <row r="20" spans="1:4" x14ac:dyDescent="0.35">
      <c r="A20" s="3"/>
      <c r="B20" s="3"/>
      <c r="C20" s="1"/>
      <c r="D20" s="49"/>
    </row>
    <row r="21" spans="1:4" x14ac:dyDescent="0.35">
      <c r="A21" s="14" t="s">
        <v>30</v>
      </c>
      <c r="B21" s="14"/>
      <c r="C21" s="39">
        <f>C10+C19</f>
        <v>10.529666666666664</v>
      </c>
      <c r="D21" s="58">
        <f>D10+D19</f>
        <v>10.529666666666664</v>
      </c>
    </row>
    <row r="22" spans="1:4" x14ac:dyDescent="0.35">
      <c r="A22" s="85"/>
      <c r="B22" s="85"/>
      <c r="C22" s="3"/>
    </row>
  </sheetData>
  <sheetProtection algorithmName="SHA-512" hashValue="gAZNXySeQlB/4HOlSlUZhoAJUb4sooZsA2BIBPaSBBOkc5QMHAy2Ur0BfkzITvH5UuMB7RY7vWd6hRAUJ7yCLw==" saltValue="MXq5hE6Ps7y9ucDKYoEXuQ==" spinCount="100000" sheet="1" objects="1" scenarios="1" selectLockedCells="1" selectUnlockedCells="1"/>
  <mergeCells count="2">
    <mergeCell ref="A22:B22"/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75E96-5BAE-4B44-9F6C-4FD328175B63}">
  <dimension ref="A1:D24"/>
  <sheetViews>
    <sheetView showGridLines="0" workbookViewId="0">
      <selection activeCell="C5" sqref="C5"/>
    </sheetView>
  </sheetViews>
  <sheetFormatPr defaultRowHeight="14.5" x14ac:dyDescent="0.35"/>
  <cols>
    <col min="1" max="1" width="50.7265625" bestFit="1" customWidth="1"/>
    <col min="2" max="3" width="9.1796875" customWidth="1"/>
  </cols>
  <sheetData>
    <row r="1" spans="1:4" x14ac:dyDescent="0.35">
      <c r="A1" s="80" t="s">
        <v>85</v>
      </c>
      <c r="B1" s="80"/>
      <c r="C1" s="80"/>
    </row>
    <row r="3" spans="1:4" ht="15" thickBot="1" x14ac:dyDescent="0.4">
      <c r="A3" s="27" t="s">
        <v>78</v>
      </c>
      <c r="B3" s="71" t="s">
        <v>174</v>
      </c>
      <c r="C3" s="65" t="s">
        <v>175</v>
      </c>
      <c r="D3" s="2" t="s">
        <v>121</v>
      </c>
    </row>
    <row r="4" spans="1:4" ht="15" thickBot="1" x14ac:dyDescent="0.4">
      <c r="A4" t="s">
        <v>127</v>
      </c>
      <c r="B4" s="34" t="s">
        <v>144</v>
      </c>
      <c r="C4" s="75" t="s">
        <v>144</v>
      </c>
    </row>
    <row r="5" spans="1:4" x14ac:dyDescent="0.35">
      <c r="A5" s="3" t="s">
        <v>52</v>
      </c>
      <c r="B5" s="64"/>
      <c r="C5" s="49"/>
    </row>
    <row r="6" spans="1:4" x14ac:dyDescent="0.35">
      <c r="A6" s="3" t="s">
        <v>123</v>
      </c>
      <c r="B6" s="36">
        <v>15.6</v>
      </c>
      <c r="C6" s="36">
        <v>15.6</v>
      </c>
    </row>
    <row r="7" spans="1:4" x14ac:dyDescent="0.35">
      <c r="A7" s="3" t="s">
        <v>124</v>
      </c>
      <c r="B7" s="36">
        <v>2.58</v>
      </c>
      <c r="C7" s="36">
        <v>2.58</v>
      </c>
    </row>
    <row r="8" spans="1:4" x14ac:dyDescent="0.35">
      <c r="A8" s="3" t="s">
        <v>125</v>
      </c>
      <c r="B8" s="36">
        <v>1.1200000000000001</v>
      </c>
      <c r="C8" s="36">
        <v>1.1200000000000001</v>
      </c>
    </row>
    <row r="9" spans="1:4" x14ac:dyDescent="0.35">
      <c r="A9" s="3" t="s">
        <v>128</v>
      </c>
      <c r="B9" s="36">
        <v>25</v>
      </c>
      <c r="C9" s="36">
        <v>25</v>
      </c>
    </row>
    <row r="10" spans="1:4" x14ac:dyDescent="0.35">
      <c r="A10" s="3" t="s">
        <v>126</v>
      </c>
      <c r="B10" s="36">
        <v>15</v>
      </c>
      <c r="C10" s="36">
        <v>15</v>
      </c>
    </row>
    <row r="11" spans="1:4" x14ac:dyDescent="0.35">
      <c r="B11" s="36"/>
      <c r="C11" s="26"/>
    </row>
    <row r="12" spans="1:4" x14ac:dyDescent="0.35">
      <c r="A12" s="3" t="s">
        <v>17</v>
      </c>
      <c r="B12" s="64">
        <f>IF(B4="y",30,20)</f>
        <v>30</v>
      </c>
      <c r="C12" s="64">
        <f>IF(C4="y",30,20)</f>
        <v>30</v>
      </c>
    </row>
    <row r="13" spans="1:4" x14ac:dyDescent="0.35">
      <c r="A13" s="3" t="s">
        <v>71</v>
      </c>
      <c r="B13" s="76">
        <f>ROUND('Cattle and Markets'!B4/B12,0)</f>
        <v>3</v>
      </c>
      <c r="C13" s="76">
        <f>ROUND('Cattle and Markets'!C4/C12,0)</f>
        <v>1</v>
      </c>
    </row>
    <row r="14" spans="1:4" x14ac:dyDescent="0.35">
      <c r="A14" s="3" t="s">
        <v>18</v>
      </c>
      <c r="B14" s="35">
        <v>5000</v>
      </c>
      <c r="C14" s="35">
        <v>5000</v>
      </c>
    </row>
    <row r="15" spans="1:4" x14ac:dyDescent="0.35">
      <c r="A15" s="3" t="s">
        <v>120</v>
      </c>
      <c r="B15" s="35">
        <f>B14</f>
        <v>5000</v>
      </c>
      <c r="C15" s="35">
        <f>C14</f>
        <v>5000</v>
      </c>
    </row>
    <row r="16" spans="1:4" x14ac:dyDescent="0.35">
      <c r="A16" s="3" t="s">
        <v>119</v>
      </c>
      <c r="B16" s="59">
        <f>B15-B14</f>
        <v>0</v>
      </c>
      <c r="C16" s="59">
        <f>C15-C14</f>
        <v>0</v>
      </c>
      <c r="D16" t="s">
        <v>145</v>
      </c>
    </row>
    <row r="17" spans="1:3" x14ac:dyDescent="0.35">
      <c r="A17" s="3"/>
      <c r="B17" s="37"/>
      <c r="C17" s="37"/>
    </row>
    <row r="18" spans="1:3" x14ac:dyDescent="0.35">
      <c r="A18" s="3" t="s">
        <v>106</v>
      </c>
      <c r="B18" s="36">
        <v>70</v>
      </c>
      <c r="C18" s="36">
        <v>70</v>
      </c>
    </row>
    <row r="19" spans="1:3" x14ac:dyDescent="0.35">
      <c r="A19" s="3" t="s">
        <v>19</v>
      </c>
      <c r="B19" s="59">
        <f>(B13*B18)/'Cattle and Markets'!B4</f>
        <v>2.1</v>
      </c>
      <c r="C19" s="59">
        <f>(C13*C18)/'Cattle and Markets'!C4</f>
        <v>2.3333333333333335</v>
      </c>
    </row>
    <row r="20" spans="1:3" x14ac:dyDescent="0.35">
      <c r="A20" s="3"/>
      <c r="B20" s="59"/>
      <c r="C20" s="59"/>
    </row>
    <row r="21" spans="1:3" x14ac:dyDescent="0.35">
      <c r="A21" s="3" t="s">
        <v>74</v>
      </c>
      <c r="B21" s="59">
        <v>15</v>
      </c>
      <c r="C21" s="59">
        <v>15</v>
      </c>
    </row>
    <row r="22" spans="1:3" x14ac:dyDescent="0.35">
      <c r="A22" s="3"/>
      <c r="B22" s="18"/>
      <c r="C22" s="18"/>
    </row>
    <row r="23" spans="1:3" x14ac:dyDescent="0.35">
      <c r="A23" s="14" t="s">
        <v>23</v>
      </c>
      <c r="B23" s="39">
        <f>IF(B4="y",SUM(B6:B10,B16,B21),IF(B4="n",SUM(B16,B19,B21)))</f>
        <v>74.3</v>
      </c>
      <c r="C23" s="39">
        <f>IF(C4="y",SUM(C6:C10,C16,C21),IF(C4="n",SUM(C16,C19,C21)))</f>
        <v>74.3</v>
      </c>
    </row>
    <row r="24" spans="1:3" x14ac:dyDescent="0.35">
      <c r="A24" s="85"/>
      <c r="B24" s="85"/>
      <c r="C24" s="43"/>
    </row>
  </sheetData>
  <sheetProtection algorithmName="SHA-512" hashValue="q0WHnX/B07LMLEcXGnP2Hgt1Pvqkz0zK1RpAVEo8LSHuZZJXIU4naev+eyxVWD2e564OvwZmCGFcSwGnugS1Cg==" saltValue="uNGa03s5RsbPX9XIXD8ZMQ==" spinCount="100000" sheet="1" objects="1" scenarios="1"/>
  <mergeCells count="2">
    <mergeCell ref="A24:B24"/>
    <mergeCell ref="A1:C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6738E-B438-4AE9-86B5-DC40868D292A}">
  <dimension ref="A1:O28"/>
  <sheetViews>
    <sheetView showGridLines="0" zoomScale="90" zoomScaleNormal="90" workbookViewId="0">
      <selection activeCell="C5" sqref="C5"/>
    </sheetView>
  </sheetViews>
  <sheetFormatPr defaultRowHeight="14.5" x14ac:dyDescent="0.35"/>
  <cols>
    <col min="1" max="1" width="51.26953125" customWidth="1"/>
    <col min="2" max="2" width="7.453125" bestFit="1" customWidth="1"/>
    <col min="3" max="3" width="8.54296875" bestFit="1" customWidth="1"/>
    <col min="14" max="14" width="19.1796875" bestFit="1" customWidth="1"/>
  </cols>
  <sheetData>
    <row r="1" spans="1:15" x14ac:dyDescent="0.35">
      <c r="A1" s="80" t="s">
        <v>163</v>
      </c>
      <c r="B1" s="80"/>
      <c r="C1" s="80"/>
    </row>
    <row r="3" spans="1:15" ht="15" thickBot="1" x14ac:dyDescent="0.4">
      <c r="A3" s="27" t="s">
        <v>78</v>
      </c>
      <c r="B3" s="71" t="s">
        <v>174</v>
      </c>
      <c r="C3" s="65" t="s">
        <v>175</v>
      </c>
      <c r="N3" t="s">
        <v>151</v>
      </c>
      <c r="O3">
        <v>1700</v>
      </c>
    </row>
    <row r="4" spans="1:15" ht="15" thickBot="1" x14ac:dyDescent="0.4">
      <c r="A4" s="3" t="s">
        <v>173</v>
      </c>
      <c r="B4" s="35">
        <f>2*'Producer Set Up'!$B$13</f>
        <v>60</v>
      </c>
      <c r="C4" s="56">
        <f>2*'Producer Set Up'!$C$13</f>
        <v>60</v>
      </c>
      <c r="N4" t="s">
        <v>147</v>
      </c>
      <c r="O4">
        <v>1.3</v>
      </c>
    </row>
    <row r="5" spans="1:15" ht="15" thickBot="1" x14ac:dyDescent="0.4">
      <c r="A5" s="3" t="s">
        <v>132</v>
      </c>
      <c r="B5" s="36">
        <f>'Producer Set Up'!$B$14</f>
        <v>3.3</v>
      </c>
      <c r="C5" s="54">
        <f>'Producer Set Up'!$C$14</f>
        <v>3.3</v>
      </c>
      <c r="N5" t="s">
        <v>148</v>
      </c>
      <c r="O5">
        <v>750</v>
      </c>
    </row>
    <row r="6" spans="1:15" x14ac:dyDescent="0.35">
      <c r="A6" s="3" t="s">
        <v>155</v>
      </c>
      <c r="B6" s="35">
        <v>58000</v>
      </c>
      <c r="C6" s="35">
        <f>B6</f>
        <v>58000</v>
      </c>
    </row>
    <row r="7" spans="1:15" x14ac:dyDescent="0.35">
      <c r="A7" s="3" t="s">
        <v>107</v>
      </c>
      <c r="B7" s="35">
        <f>B6/'Cattle and Markets'!B7</f>
        <v>77.333333333333329</v>
      </c>
      <c r="C7" s="35">
        <f>C6/'Cattle and Markets'!C7</f>
        <v>77.333333333333329</v>
      </c>
      <c r="N7" t="s">
        <v>150</v>
      </c>
      <c r="O7">
        <f>O4*(O5/100)</f>
        <v>9.75</v>
      </c>
    </row>
    <row r="8" spans="1:15" x14ac:dyDescent="0.35">
      <c r="A8" s="3" t="s">
        <v>20</v>
      </c>
      <c r="B8" s="59">
        <f>IF('Cattle and Markets'!B12=0,0,B6/'Cattle and Markets'!B10)</f>
        <v>52.727272727272727</v>
      </c>
      <c r="C8" s="59">
        <f>IF('Cattle and Markets'!C12=0,0,C6/'Cattle and Markets'!C10)</f>
        <v>52.727272727272727</v>
      </c>
      <c r="I8">
        <v>3</v>
      </c>
      <c r="N8" t="s">
        <v>152</v>
      </c>
      <c r="O8" s="42">
        <f>O3/O7</f>
        <v>174.35897435897436</v>
      </c>
    </row>
    <row r="9" spans="1:15" x14ac:dyDescent="0.35">
      <c r="A9" s="3" t="s">
        <v>21</v>
      </c>
      <c r="B9" s="77">
        <f>IF('Cattle and Markets'!B17=0,0,B6/'Cattle and Markets'!B15)</f>
        <v>58</v>
      </c>
      <c r="C9" s="77">
        <f>IF('Cattle and Markets'!C17=0,0,C6/'Cattle and Markets'!C15)</f>
        <v>58</v>
      </c>
      <c r="I9">
        <v>1700</v>
      </c>
      <c r="O9" s="42"/>
    </row>
    <row r="10" spans="1:15" x14ac:dyDescent="0.35">
      <c r="A10" s="3" t="s">
        <v>156</v>
      </c>
      <c r="B10" s="77">
        <f>IF('Cattle and Markets'!B22=0,0,B6/'Cattle and Markets'!B20)</f>
        <v>64.444444444444443</v>
      </c>
      <c r="C10" s="77">
        <f>IF('Cattle and Markets'!C22=0,0,C6/'Cattle and Markets'!C20)</f>
        <v>64.444444444444443</v>
      </c>
      <c r="O10" s="42"/>
    </row>
    <row r="11" spans="1:15" x14ac:dyDescent="0.35">
      <c r="A11" s="3" t="s">
        <v>108</v>
      </c>
      <c r="B11" s="35">
        <f>'Cattle and Markets'!B7*'Cattle and Markets'!B4</f>
        <v>75000</v>
      </c>
      <c r="C11" s="35">
        <f>'Cattle and Markets'!C7*'Cattle and Markets'!C4</f>
        <v>22500</v>
      </c>
      <c r="I11">
        <f>+I8*I9</f>
        <v>5100</v>
      </c>
      <c r="O11" s="42"/>
    </row>
    <row r="12" spans="1:15" x14ac:dyDescent="0.35">
      <c r="A12" s="3" t="s">
        <v>109</v>
      </c>
      <c r="B12" s="35">
        <f>'Cattle and Markets'!B12*'Cattle and Markets'!B10</f>
        <v>22000</v>
      </c>
      <c r="C12" s="35">
        <f>'Cattle and Markets'!C12*'Cattle and Markets'!C10</f>
        <v>6600</v>
      </c>
      <c r="I12">
        <v>60</v>
      </c>
      <c r="O12" s="42"/>
    </row>
    <row r="13" spans="1:15" x14ac:dyDescent="0.35">
      <c r="A13" s="3" t="s">
        <v>110</v>
      </c>
      <c r="B13" s="35">
        <f>'Cattle and Markets'!B17*'Cattle and Markets'!B15</f>
        <v>70000</v>
      </c>
      <c r="C13" s="35">
        <f>'Cattle and Markets'!C17*'Cattle and Markets'!C15</f>
        <v>21000.000000000004</v>
      </c>
      <c r="I13">
        <v>5</v>
      </c>
      <c r="O13" s="42"/>
    </row>
    <row r="14" spans="1:15" x14ac:dyDescent="0.35">
      <c r="A14" s="3" t="s">
        <v>111</v>
      </c>
      <c r="B14" s="35">
        <f>'Cattle and Markets'!B22*'Cattle and Markets'!B20</f>
        <v>9000</v>
      </c>
      <c r="C14" s="35">
        <f>'Cattle and Markets'!C22*'Cattle and Markets'!C20</f>
        <v>2700</v>
      </c>
      <c r="I14">
        <f>+I12*2*I13</f>
        <v>600</v>
      </c>
      <c r="O14" s="42"/>
    </row>
    <row r="15" spans="1:15" x14ac:dyDescent="0.35">
      <c r="A15" s="3" t="s">
        <v>112</v>
      </c>
      <c r="B15" s="35">
        <f>SUM(B12:B14)</f>
        <v>101000</v>
      </c>
      <c r="C15" s="35">
        <f>SUM(C12:C14)</f>
        <v>30300.000000000004</v>
      </c>
      <c r="I15">
        <f>+I14/'Cattle and Markets'!B4</f>
        <v>6</v>
      </c>
      <c r="O15" s="42"/>
    </row>
    <row r="16" spans="1:15" x14ac:dyDescent="0.35">
      <c r="A16" s="3" t="s">
        <v>158</v>
      </c>
      <c r="B16" s="77">
        <f>ROUND(B11/B6,0)</f>
        <v>1</v>
      </c>
      <c r="C16" s="77">
        <f>ROUND(C11/C6,0)</f>
        <v>0</v>
      </c>
      <c r="N16" t="s">
        <v>153</v>
      </c>
      <c r="O16">
        <f>+O5*O8</f>
        <v>130769.23076923078</v>
      </c>
    </row>
    <row r="17" spans="1:15" x14ac:dyDescent="0.35">
      <c r="A17" s="3" t="s">
        <v>157</v>
      </c>
      <c r="B17" s="64">
        <f>ROUND(B15/B6,0)</f>
        <v>2</v>
      </c>
      <c r="C17" s="64">
        <f>ROUND(C15/C6,0)</f>
        <v>1</v>
      </c>
      <c r="N17" t="s">
        <v>154</v>
      </c>
      <c r="O17">
        <f>60000/O16</f>
        <v>0.45882352941176469</v>
      </c>
    </row>
    <row r="18" spans="1:15" x14ac:dyDescent="0.35">
      <c r="A18" s="3" t="s">
        <v>73</v>
      </c>
      <c r="B18" s="59">
        <f>B4*B5*B16</f>
        <v>198</v>
      </c>
      <c r="C18" s="59">
        <f>C4*C5*C16</f>
        <v>0</v>
      </c>
      <c r="O18">
        <f>+O17*O8</f>
        <v>80</v>
      </c>
    </row>
    <row r="19" spans="1:15" x14ac:dyDescent="0.35">
      <c r="A19" s="3" t="s">
        <v>159</v>
      </c>
      <c r="B19" s="59">
        <f>B4*B5*B17</f>
        <v>396</v>
      </c>
      <c r="C19" s="59">
        <f>C4*C5*C17</f>
        <v>198</v>
      </c>
    </row>
    <row r="20" spans="1:15" x14ac:dyDescent="0.35">
      <c r="A20" s="3" t="s">
        <v>160</v>
      </c>
      <c r="B20" s="59">
        <f>B18/'Cattle and Markets'!B4</f>
        <v>1.98</v>
      </c>
      <c r="C20" s="59">
        <f>C18/'Cattle and Markets'!C4</f>
        <v>0</v>
      </c>
      <c r="N20" t="s">
        <v>149</v>
      </c>
      <c r="O20">
        <v>1000</v>
      </c>
    </row>
    <row r="21" spans="1:15" x14ac:dyDescent="0.35">
      <c r="A21" s="3" t="s">
        <v>161</v>
      </c>
      <c r="B21" s="59">
        <f>B19/'Cattle and Markets'!B4</f>
        <v>3.96</v>
      </c>
      <c r="C21" s="59">
        <f>C19/'Cattle and Markets'!C4</f>
        <v>6.6</v>
      </c>
    </row>
    <row r="22" spans="1:15" x14ac:dyDescent="0.35">
      <c r="A22" s="3" t="s">
        <v>162</v>
      </c>
      <c r="B22" s="59">
        <f>B5*1.5</f>
        <v>4.9499999999999993</v>
      </c>
      <c r="C22" s="59">
        <f>C5*1.5</f>
        <v>4.9499999999999993</v>
      </c>
      <c r="D22" t="s">
        <v>172</v>
      </c>
    </row>
    <row r="23" spans="1:15" x14ac:dyDescent="0.35">
      <c r="A23" s="3" t="s">
        <v>131</v>
      </c>
      <c r="B23" s="18">
        <v>2</v>
      </c>
      <c r="C23" s="18">
        <f>B23</f>
        <v>2</v>
      </c>
    </row>
    <row r="24" spans="1:15" x14ac:dyDescent="0.35">
      <c r="A24" s="3" t="s">
        <v>129</v>
      </c>
      <c r="B24" s="10">
        <f>B4*B22*B23</f>
        <v>593.99999999999989</v>
      </c>
      <c r="C24" s="10">
        <f>C4*C22*C23</f>
        <v>593.99999999999989</v>
      </c>
    </row>
    <row r="25" spans="1:15" x14ac:dyDescent="0.35">
      <c r="A25" s="3" t="s">
        <v>130</v>
      </c>
      <c r="B25" s="10">
        <f>B24/'Cattle and Markets'!B4</f>
        <v>5.9399999999999986</v>
      </c>
      <c r="C25" s="10">
        <f>C24/'Cattle and Markets'!C4</f>
        <v>19.799999999999997</v>
      </c>
    </row>
    <row r="26" spans="1:15" x14ac:dyDescent="0.35">
      <c r="A26" s="3"/>
      <c r="B26" s="1"/>
      <c r="C26" s="1"/>
    </row>
    <row r="27" spans="1:15" x14ac:dyDescent="0.35">
      <c r="A27" s="14" t="s">
        <v>75</v>
      </c>
      <c r="B27" s="40">
        <f>B20+B21+B25</f>
        <v>11.879999999999999</v>
      </c>
      <c r="C27" s="40">
        <f>C20+C21+C25</f>
        <v>26.4</v>
      </c>
    </row>
    <row r="28" spans="1:15" x14ac:dyDescent="0.35">
      <c r="A28" s="85"/>
      <c r="B28" s="85"/>
      <c r="C28" s="43"/>
    </row>
  </sheetData>
  <mergeCells count="2">
    <mergeCell ref="A28:B28"/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B7140-D857-4D07-9E4A-C7E4C56C7D96}">
  <dimension ref="A1:C17"/>
  <sheetViews>
    <sheetView showGridLines="0" topLeftCell="A10" workbookViewId="0">
      <selection activeCell="H28" sqref="H28"/>
    </sheetView>
  </sheetViews>
  <sheetFormatPr defaultRowHeight="14.5" x14ac:dyDescent="0.35"/>
  <cols>
    <col min="1" max="1" width="40.90625" customWidth="1"/>
  </cols>
  <sheetData>
    <row r="1" spans="1:3" x14ac:dyDescent="0.35">
      <c r="A1" s="80" t="s">
        <v>84</v>
      </c>
      <c r="B1" s="80"/>
      <c r="C1" s="80"/>
    </row>
    <row r="3" spans="1:3" x14ac:dyDescent="0.35">
      <c r="A3" s="14" t="s">
        <v>78</v>
      </c>
      <c r="B3" s="71" t="s">
        <v>174</v>
      </c>
      <c r="C3" s="72" t="s">
        <v>175</v>
      </c>
    </row>
    <row r="4" spans="1:3" x14ac:dyDescent="0.35">
      <c r="A4" t="s">
        <v>33</v>
      </c>
      <c r="B4" s="37">
        <v>0.03</v>
      </c>
      <c r="C4" s="37">
        <v>0.03</v>
      </c>
    </row>
    <row r="5" spans="1:3" x14ac:dyDescent="0.35">
      <c r="A5" t="s">
        <v>113</v>
      </c>
      <c r="B5" s="59">
        <f>B4*'Benefit-Cost Budget'!B8</f>
        <v>124.27499999999999</v>
      </c>
      <c r="C5" s="59">
        <f>B5</f>
        <v>124.27499999999999</v>
      </c>
    </row>
    <row r="6" spans="1:3" x14ac:dyDescent="0.35">
      <c r="A6" t="s">
        <v>114</v>
      </c>
      <c r="B6" s="59">
        <v>2</v>
      </c>
      <c r="C6" s="59">
        <v>2</v>
      </c>
    </row>
    <row r="7" spans="1:3" x14ac:dyDescent="0.35">
      <c r="A7" t="s">
        <v>115</v>
      </c>
      <c r="B7" s="59">
        <v>2</v>
      </c>
      <c r="C7" s="59">
        <v>2</v>
      </c>
    </row>
    <row r="8" spans="1:3" x14ac:dyDescent="0.35">
      <c r="A8" t="s">
        <v>116</v>
      </c>
      <c r="B8" s="64">
        <v>0.85</v>
      </c>
      <c r="C8" s="64">
        <v>0.85</v>
      </c>
    </row>
    <row r="9" spans="1:3" x14ac:dyDescent="0.35">
      <c r="A9" s="1"/>
      <c r="B9" s="64"/>
      <c r="C9" s="64"/>
    </row>
    <row r="10" spans="1:3" x14ac:dyDescent="0.35">
      <c r="A10" t="s">
        <v>133</v>
      </c>
      <c r="B10" s="64">
        <f>B4*Breeding!B15</f>
        <v>150</v>
      </c>
      <c r="C10" s="64">
        <f>C4*Breeding!C15</f>
        <v>150</v>
      </c>
    </row>
    <row r="11" spans="1:3" x14ac:dyDescent="0.35">
      <c r="A11" t="s">
        <v>134</v>
      </c>
      <c r="B11" s="59">
        <f t="shared" ref="B11:C13" si="0">B6</f>
        <v>2</v>
      </c>
      <c r="C11" s="59">
        <f t="shared" si="0"/>
        <v>2</v>
      </c>
    </row>
    <row r="12" spans="1:3" x14ac:dyDescent="0.35">
      <c r="A12" t="s">
        <v>135</v>
      </c>
      <c r="B12" s="59">
        <f t="shared" si="0"/>
        <v>2</v>
      </c>
      <c r="C12" s="59">
        <f t="shared" si="0"/>
        <v>2</v>
      </c>
    </row>
    <row r="13" spans="1:3" x14ac:dyDescent="0.35">
      <c r="A13" s="3" t="s">
        <v>136</v>
      </c>
      <c r="B13" s="64">
        <f t="shared" si="0"/>
        <v>0.85</v>
      </c>
      <c r="C13" s="64">
        <f t="shared" si="0"/>
        <v>0.85</v>
      </c>
    </row>
    <row r="14" spans="1:3" x14ac:dyDescent="0.35">
      <c r="A14" s="3" t="s">
        <v>137</v>
      </c>
      <c r="B14" s="1">
        <f>Breeding!B13</f>
        <v>3</v>
      </c>
      <c r="C14" s="1">
        <f>Breeding!C13</f>
        <v>1</v>
      </c>
    </row>
    <row r="15" spans="1:3" x14ac:dyDescent="0.35">
      <c r="A15" s="1"/>
      <c r="B15" s="1"/>
      <c r="C15" s="1"/>
    </row>
    <row r="16" spans="1:3" x14ac:dyDescent="0.35">
      <c r="A16" s="27" t="s">
        <v>77</v>
      </c>
      <c r="B16" s="40" cm="1">
        <f t="array" ref="B16">SUM(B5:B8)+SUM(B10:B13*B14)/'Cattle and Markets'!B4</f>
        <v>133.77049999999997</v>
      </c>
      <c r="C16" s="40" cm="1">
        <f t="array" ref="C16">SUM(C5:C8)+SUM(C10:C13*C14)/'Cattle and Markets'!C4</f>
        <v>134.28666666666663</v>
      </c>
    </row>
    <row r="17" spans="1:2" x14ac:dyDescent="0.35">
      <c r="A17" s="85"/>
      <c r="B17" s="85"/>
    </row>
  </sheetData>
  <sheetProtection algorithmName="SHA-512" hashValue="IDsF4P19XW4cvKXYOl+jzpyEdDmKAJRDTr/6Q76m0YcO7AoN4d3J7JQb3lRF3x0tvhxldXTPDJ6fGjAJKwWoEw==" saltValue="GPEp9ZfMVLAMznulN5a23Q==" spinCount="100000" sheet="1" objects="1" scenarios="1"/>
  <mergeCells count="2">
    <mergeCell ref="A17:B17"/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Producer Set Up</vt:lpstr>
      <vt:lpstr>Benefit-Cost Budget</vt:lpstr>
      <vt:lpstr>Cattle and Markets</vt:lpstr>
      <vt:lpstr>Pasture and Feed</vt:lpstr>
      <vt:lpstr>Tractor and Fuel</vt:lpstr>
      <vt:lpstr>Vet and Health</vt:lpstr>
      <vt:lpstr>Breeding</vt:lpstr>
      <vt:lpstr>Transportation</vt:lpstr>
      <vt:lpstr>Marketing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Biermacher, Jon Todd</dc:creator>
  <cp:lastModifiedBy>Biermacher, Jon Todd</cp:lastModifiedBy>
  <cp:lastPrinted>2026-02-03T19:33:41Z</cp:lastPrinted>
  <dcterms:created xsi:type="dcterms:W3CDTF">2025-03-06T20:28:19Z</dcterms:created>
  <dcterms:modified xsi:type="dcterms:W3CDTF">2026-07-07T20:29:37Z</dcterms:modified>
</cp:coreProperties>
</file>