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red Heifer Calculator\"/>
    </mc:Choice>
  </mc:AlternateContent>
  <xr:revisionPtr revIDLastSave="0" documentId="13_ncr:1_{C39D8EEA-CAC3-434E-A792-5B71C6B115FB}" xr6:coauthVersionLast="47" xr6:coauthVersionMax="47" xr10:uidLastSave="{00000000-0000-0000-0000-000000000000}"/>
  <bookViews>
    <workbookView xWindow="6640" yWindow="430" windowWidth="24590" windowHeight="12990" xr2:uid="{87901CB4-C370-449A-9B58-AEF3BE0D6564}"/>
  </bookViews>
  <sheets>
    <sheet name="Producer Set Up" sheetId="10" r:id="rId1"/>
    <sheet name="Enterprise Budget" sheetId="2" r:id="rId2"/>
    <sheet name="Cattle and Markets" sheetId="3" r:id="rId3"/>
    <sheet name="Pasture and Feed" sheetId="4" r:id="rId4"/>
    <sheet name="Tractor and Fuel" sheetId="5" r:id="rId5"/>
    <sheet name="Vet and Health" sheetId="6" r:id="rId6"/>
    <sheet name="Breeding" sheetId="7" r:id="rId7"/>
    <sheet name="Transportation" sheetId="8" r:id="rId8"/>
    <sheet name="Marketing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0" l="1"/>
  <c r="B4" i="3" s="1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C4" i="3"/>
  <c r="C5" i="4"/>
  <c r="C15" i="7"/>
  <c r="B15" i="7"/>
  <c r="C14" i="7"/>
  <c r="C18" i="7" s="1"/>
  <c r="B14" i="7"/>
  <c r="C4" i="7"/>
  <c r="C7" i="8"/>
  <c r="B7" i="8"/>
  <c r="B4" i="7"/>
  <c r="C13" i="4"/>
  <c r="B13" i="4"/>
  <c r="C12" i="4"/>
  <c r="B12" i="4"/>
  <c r="B16" i="4" s="1"/>
  <c r="C7" i="5"/>
  <c r="B7" i="5"/>
  <c r="B8" i="5" s="1"/>
  <c r="B13" i="5"/>
  <c r="D4" i="10" l="1"/>
  <c r="B18" i="7"/>
  <c r="B19" i="7" s="1"/>
  <c r="C19" i="7"/>
  <c r="C8" i="5"/>
  <c r="C14" i="4"/>
  <c r="C16" i="4" s="1"/>
  <c r="B14" i="4"/>
  <c r="C7" i="4"/>
  <c r="C9" i="4" s="1"/>
  <c r="B7" i="4"/>
  <c r="B9" i="4" s="1"/>
  <c r="C20" i="4"/>
  <c r="C12" i="5" s="1"/>
  <c r="C14" i="5" s="1"/>
  <c r="B5" i="4"/>
  <c r="B27" i="3"/>
  <c r="B29" i="3" s="1"/>
  <c r="C27" i="3"/>
  <c r="C29" i="3" s="1"/>
  <c r="C12" i="7"/>
  <c r="C26" i="7" s="1"/>
  <c r="C4" i="8"/>
  <c r="C23" i="8"/>
  <c r="C5" i="8"/>
  <c r="C22" i="8" s="1"/>
  <c r="C16" i="5"/>
  <c r="C27" i="4"/>
  <c r="C28" i="4" s="1"/>
  <c r="C22" i="4"/>
  <c r="C23" i="4" s="1"/>
  <c r="C6" i="4"/>
  <c r="C20" i="3"/>
  <c r="E7" i="2" s="1"/>
  <c r="C14" i="3"/>
  <c r="C11" i="3"/>
  <c r="C16" i="3" s="1"/>
  <c r="C9" i="3"/>
  <c r="C6" i="3"/>
  <c r="E11" i="2" s="1"/>
  <c r="C11" i="9"/>
  <c r="C12" i="9"/>
  <c r="C13" i="9"/>
  <c r="C10" i="9"/>
  <c r="D10" i="6"/>
  <c r="D13" i="6"/>
  <c r="D18" i="6" s="1"/>
  <c r="D14" i="6"/>
  <c r="D15" i="6"/>
  <c r="D16" i="6"/>
  <c r="D17" i="6"/>
  <c r="C13" i="5"/>
  <c r="C21" i="4"/>
  <c r="C26" i="4"/>
  <c r="C31" i="4"/>
  <c r="C33" i="4" s="1"/>
  <c r="B4" i="8"/>
  <c r="B5" i="8"/>
  <c r="B22" i="8" s="1"/>
  <c r="B16" i="5"/>
  <c r="B27" i="4"/>
  <c r="B22" i="4"/>
  <c r="B6" i="4"/>
  <c r="B20" i="3"/>
  <c r="B14" i="3"/>
  <c r="B11" i="3"/>
  <c r="B16" i="3" s="1"/>
  <c r="B9" i="3"/>
  <c r="B6" i="3"/>
  <c r="B23" i="3"/>
  <c r="B17" i="3" l="1"/>
  <c r="C22" i="7"/>
  <c r="B22" i="7"/>
  <c r="C11" i="8"/>
  <c r="C16" i="8" s="1"/>
  <c r="C18" i="8" s="1"/>
  <c r="C20" i="8" s="1"/>
  <c r="C23" i="3"/>
  <c r="B12" i="3"/>
  <c r="B11" i="8"/>
  <c r="B16" i="8" s="1"/>
  <c r="B18" i="8" s="1"/>
  <c r="B20" i="8" s="1"/>
  <c r="C21" i="7"/>
  <c r="B21" i="7"/>
  <c r="C6" i="5"/>
  <c r="C9" i="5" s="1"/>
  <c r="C10" i="5" s="1"/>
  <c r="C15" i="5" s="1"/>
  <c r="C18" i="5"/>
  <c r="C8" i="4"/>
  <c r="B8" i="4"/>
  <c r="B17" i="4"/>
  <c r="C13" i="7"/>
  <c r="E18" i="2"/>
  <c r="F18" i="2" s="1"/>
  <c r="E5" i="2"/>
  <c r="E6" i="2"/>
  <c r="F11" i="2"/>
  <c r="D19" i="6"/>
  <c r="D21" i="6" s="1"/>
  <c r="E14" i="2" s="1"/>
  <c r="F14" i="2" s="1"/>
  <c r="C24" i="8"/>
  <c r="C25" i="8" s="1"/>
  <c r="C20" i="5"/>
  <c r="C21" i="5" s="1"/>
  <c r="C24" i="4"/>
  <c r="C25" i="4"/>
  <c r="C29" i="4" s="1"/>
  <c r="B24" i="8"/>
  <c r="B25" i="8" s="1"/>
  <c r="B5" i="2"/>
  <c r="B13" i="9"/>
  <c r="B12" i="9"/>
  <c r="B11" i="9"/>
  <c r="B26" i="4"/>
  <c r="B12" i="7"/>
  <c r="C10" i="6"/>
  <c r="C13" i="6"/>
  <c r="C14" i="6"/>
  <c r="C15" i="6"/>
  <c r="C16" i="6"/>
  <c r="C17" i="6"/>
  <c r="B6" i="5"/>
  <c r="B9" i="5" s="1"/>
  <c r="B10" i="5" s="1"/>
  <c r="B20" i="4"/>
  <c r="B23" i="4"/>
  <c r="B28" i="4"/>
  <c r="B31" i="4"/>
  <c r="B33" i="4" s="1"/>
  <c r="B7" i="2"/>
  <c r="B25" i="3" l="1"/>
  <c r="B18" i="3" s="1"/>
  <c r="C12" i="3"/>
  <c r="F5" i="2" s="1"/>
  <c r="C17" i="3"/>
  <c r="B13" i="7"/>
  <c r="B10" i="4" s="1"/>
  <c r="B11" i="4" s="1"/>
  <c r="B18" i="4" s="1"/>
  <c r="B26" i="7"/>
  <c r="C23" i="7"/>
  <c r="C30" i="7" s="1"/>
  <c r="B23" i="7"/>
  <c r="B30" i="7" s="1"/>
  <c r="C10" i="8"/>
  <c r="C14" i="8"/>
  <c r="B8" i="8"/>
  <c r="B12" i="8"/>
  <c r="B10" i="8"/>
  <c r="B14" i="8"/>
  <c r="C17" i="4"/>
  <c r="C14" i="9"/>
  <c r="C34" i="4"/>
  <c r="F7" i="2"/>
  <c r="C10" i="4"/>
  <c r="C11" i="4" s="1"/>
  <c r="C23" i="5"/>
  <c r="E13" i="2" s="1"/>
  <c r="F13" i="2" s="1"/>
  <c r="B10" i="9"/>
  <c r="B25" i="4"/>
  <c r="B21" i="4"/>
  <c r="B24" i="4" s="1"/>
  <c r="C19" i="6"/>
  <c r="C21" i="6" s="1"/>
  <c r="B14" i="2" s="1"/>
  <c r="C18" i="6"/>
  <c r="B12" i="5"/>
  <c r="E15" i="2" l="1"/>
  <c r="F15" i="2" s="1"/>
  <c r="D30" i="7"/>
  <c r="C8" i="8"/>
  <c r="C12" i="8"/>
  <c r="C25" i="3"/>
  <c r="C18" i="3" s="1"/>
  <c r="B14" i="9"/>
  <c r="B9" i="8"/>
  <c r="B13" i="8"/>
  <c r="B15" i="8" s="1"/>
  <c r="B17" i="8" s="1"/>
  <c r="C9" i="8"/>
  <c r="C13" i="8"/>
  <c r="B14" i="5"/>
  <c r="B15" i="5" s="1"/>
  <c r="B18" i="5"/>
  <c r="C18" i="4"/>
  <c r="C36" i="4" s="1"/>
  <c r="E12" i="2" s="1"/>
  <c r="F12" i="2" s="1"/>
  <c r="F6" i="2"/>
  <c r="F8" i="2" s="1"/>
  <c r="B29" i="4"/>
  <c r="B34" i="4"/>
  <c r="C15" i="8" l="1"/>
  <c r="C17" i="8" s="1"/>
  <c r="C19" i="8" s="1"/>
  <c r="C21" i="8" s="1"/>
  <c r="C27" i="8" s="1"/>
  <c r="E16" i="2" s="1"/>
  <c r="F16" i="2" s="1"/>
  <c r="G7" i="2"/>
  <c r="B20" i="5"/>
  <c r="B21" i="5" s="1"/>
  <c r="B23" i="5" s="1"/>
  <c r="B13" i="2" s="1"/>
  <c r="C13" i="2" s="1"/>
  <c r="G6" i="2"/>
  <c r="G5" i="2"/>
  <c r="E8" i="2"/>
  <c r="C25" i="10" s="1"/>
  <c r="G8" i="2"/>
  <c r="B36" i="4"/>
  <c r="B19" i="8"/>
  <c r="B21" i="8" s="1"/>
  <c r="B27" i="8" s="1"/>
  <c r="B6" i="2"/>
  <c r="B11" i="2"/>
  <c r="B18" i="2" s="1"/>
  <c r="E17" i="2" l="1"/>
  <c r="F17" i="2" s="1"/>
  <c r="C7" i="2"/>
  <c r="C14" i="2"/>
  <c r="C18" i="2"/>
  <c r="C11" i="2"/>
  <c r="B15" i="2" l="1"/>
  <c r="C15" i="2" l="1"/>
  <c r="B12" i="2" l="1"/>
  <c r="C5" i="2"/>
  <c r="C12" i="2" l="1"/>
  <c r="B16" i="2"/>
  <c r="B17" i="2" s="1"/>
  <c r="C6" i="2" l="1"/>
  <c r="C8" i="2" l="1"/>
  <c r="C16" i="2"/>
  <c r="C17" i="2"/>
  <c r="D6" i="2" l="1"/>
  <c r="B8" i="2"/>
  <c r="D7" i="2"/>
  <c r="D8" i="2"/>
  <c r="D5" i="2"/>
  <c r="B5" i="9" l="1"/>
  <c r="C5" i="9" s="1"/>
  <c r="C16" i="9" s="1" a="1"/>
  <c r="C16" i="9" s="1"/>
  <c r="E19" i="2" s="1"/>
  <c r="F19" i="2" s="1"/>
  <c r="B25" i="10"/>
  <c r="D25" i="10" s="1"/>
  <c r="B16" i="9" l="1" a="1"/>
  <c r="B16" i="9" s="1"/>
  <c r="B19" i="2" s="1"/>
  <c r="C19" i="2" s="1"/>
  <c r="E21" i="2"/>
  <c r="F21" i="2" s="1"/>
  <c r="B21" i="2" l="1"/>
  <c r="B23" i="2" s="1"/>
  <c r="B27" i="10" s="1"/>
  <c r="C26" i="10"/>
  <c r="E23" i="2"/>
  <c r="F23" i="2" s="1"/>
  <c r="C28" i="10" s="1"/>
  <c r="G21" i="2"/>
  <c r="G18" i="2"/>
  <c r="G17" i="2"/>
  <c r="G12" i="2"/>
  <c r="G15" i="2"/>
  <c r="G13" i="2"/>
  <c r="G16" i="2"/>
  <c r="G11" i="2"/>
  <c r="G14" i="2"/>
  <c r="G19" i="2"/>
  <c r="C21" i="2" l="1"/>
  <c r="B26" i="10"/>
  <c r="D26" i="10" s="1"/>
  <c r="C27" i="10"/>
  <c r="D27" i="10" s="1"/>
  <c r="C23" i="2"/>
  <c r="B28" i="10" s="1"/>
  <c r="D28" i="10" s="1"/>
  <c r="D16" i="2" l="1"/>
  <c r="D12" i="2"/>
  <c r="D17" i="2"/>
  <c r="D13" i="2"/>
  <c r="D19" i="2"/>
  <c r="D21" i="2"/>
  <c r="D11" i="2"/>
  <c r="D18" i="2"/>
  <c r="D14" i="2"/>
  <c r="D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<sst xmlns="http://schemas.openxmlformats.org/spreadsheetml/2006/main" count="262" uniqueCount="212">
  <si>
    <t>Pairs</t>
  </si>
  <si>
    <t>Bred heifers</t>
  </si>
  <si>
    <t>Production costs</t>
  </si>
  <si>
    <t>Veterinary/health</t>
  </si>
  <si>
    <t>Transportation</t>
  </si>
  <si>
    <t>Interest for operating expenses</t>
  </si>
  <si>
    <t>Interest for owning the heifers</t>
  </si>
  <si>
    <t>Heifer purchase</t>
  </si>
  <si>
    <t>Total gross revenue</t>
  </si>
  <si>
    <t>Total cost of production</t>
  </si>
  <si>
    <t>Bred heifers sold</t>
  </si>
  <si>
    <t>Sale price of pairs ($/pair)</t>
  </si>
  <si>
    <t>$/operation</t>
  </si>
  <si>
    <t>Open heifers culled (head)</t>
  </si>
  <si>
    <t>Percent sold as heifers</t>
  </si>
  <si>
    <t>Percent of heifers open (%)</t>
  </si>
  <si>
    <t>Percent sold as pairs (%)</t>
  </si>
  <si>
    <t>Purchase price of breeding bull ($/bull)</t>
  </si>
  <si>
    <t>Breeding soundness exam ($/heifer)</t>
  </si>
  <si>
    <t>Maximum number of bred heifers per load</t>
  </si>
  <si>
    <t>Maximum number of pairs per load</t>
  </si>
  <si>
    <t>Products</t>
  </si>
  <si>
    <t>Total cost of breeding heifers ($/heifer)</t>
  </si>
  <si>
    <t>PregGuard</t>
  </si>
  <si>
    <t>One Shot Ultra8</t>
  </si>
  <si>
    <t>Pinkeye</t>
  </si>
  <si>
    <t>Footrot</t>
  </si>
  <si>
    <t>Vet/health for heifers</t>
  </si>
  <si>
    <t>Vet/health for breeding bulls</t>
  </si>
  <si>
    <t>Total vet/health ($/heifer)</t>
  </si>
  <si>
    <t>Bovishield Gold</t>
  </si>
  <si>
    <t>Ivermectin (pour)</t>
  </si>
  <si>
    <t>Commission (%/price)</t>
  </si>
  <si>
    <t>IBRV-BVDV-BRSV-Vib-Lep5 ($/hd)</t>
  </si>
  <si>
    <t>Clostridial (blackleg) ($/hd)</t>
  </si>
  <si>
    <t>Moraxella bovis (Pinkeye vaccine) ($/hd)</t>
  </si>
  <si>
    <t>Footrot vaccine ($/hd)</t>
  </si>
  <si>
    <t>Parasites (necrophorum) ($/hd)</t>
  </si>
  <si>
    <t>Total vet cost for heifers ($/hd)</t>
  </si>
  <si>
    <t>Price of feed ($/ton)</t>
  </si>
  <si>
    <t>Pasture rent ($/acre)</t>
  </si>
  <si>
    <t>Tractor life expectancy (years)</t>
  </si>
  <si>
    <t>Tractor use (hours/day)</t>
  </si>
  <si>
    <t>Tractor use (hours/development period)</t>
  </si>
  <si>
    <t>Tractor use (%/year)</t>
  </si>
  <si>
    <t>Price of fuel ($/gallon)</t>
  </si>
  <si>
    <t>Tractor lube and repairs (%/annual value)</t>
  </si>
  <si>
    <t>Tractor, lube and repairs ($/development period)</t>
  </si>
  <si>
    <t>Synchronization program</t>
  </si>
  <si>
    <t>Interest on operating capital (%)</t>
  </si>
  <si>
    <t>Days on farm (April/May to April/May)</t>
  </si>
  <si>
    <t>Heifers (wintered) purchased (head)</t>
  </si>
  <si>
    <t>Days on hay</t>
  </si>
  <si>
    <t>Days on pasture</t>
  </si>
  <si>
    <t>Price of hay ($/ton)</t>
  </si>
  <si>
    <t>Days on winter feed</t>
  </si>
  <si>
    <t>Pairs sold (head)</t>
  </si>
  <si>
    <t>Total vet cost for bulls ($/heifer)</t>
  </si>
  <si>
    <t>Total vet cost for bulls ($/bull)</t>
  </si>
  <si>
    <t>Stocking rate (acres/heifer)</t>
  </si>
  <si>
    <t>Stocking rate (acres/bull)</t>
  </si>
  <si>
    <t>Base-case sources of revenue</t>
  </si>
  <si>
    <t>Price of mineral ($/ounce)</t>
  </si>
  <si>
    <t>Cost of mineral for bulls for 2 months ($/heifer)</t>
  </si>
  <si>
    <t>Interest rate on investment capital (%)</t>
  </si>
  <si>
    <t>Bulls needed based on heifers purchased (rounded)</t>
  </si>
  <si>
    <t>Roundtrip cost to obtain purchased heifers ($)</t>
  </si>
  <si>
    <t>Pregnancy test ($/heifer)</t>
  </si>
  <si>
    <t>Total cost of transportation ($/heifer)</t>
  </si>
  <si>
    <t>Total pasture cost ($/heifer)</t>
  </si>
  <si>
    <t>Total marketing costs ($/heifer)</t>
  </si>
  <si>
    <t>Assumption:</t>
  </si>
  <si>
    <t>Assumption</t>
  </si>
  <si>
    <t>Open heifers</t>
  </si>
  <si>
    <t>Breeding</t>
  </si>
  <si>
    <t>Cattle Marketing: Data and Assumptions</t>
  </si>
  <si>
    <t>Heifer Breeding: Data and Assumptions</t>
  </si>
  <si>
    <t>Veterinary/Health: Data and Assumptions</t>
  </si>
  <si>
    <t>Tractor: Data and Assumptions</t>
  </si>
  <si>
    <t>Pasture, Feed, Hay, and Mineral: Data and Assumptions</t>
  </si>
  <si>
    <t>$/heifer</t>
  </si>
  <si>
    <t>Heifer weight at purchase (pounds/head)</t>
  </si>
  <si>
    <t>Heifer cull price ($/pound)</t>
  </si>
  <si>
    <t>Sale weight of bred heifers (pounds/head)</t>
  </si>
  <si>
    <t>Weight of pairs (pounds/pair)</t>
  </si>
  <si>
    <t>Final weight of culled heifers (pounds/head)</t>
  </si>
  <si>
    <t>Price of feed ($/pound)</t>
  </si>
  <si>
    <t>Cost of feed during winter ($/heifer)</t>
  </si>
  <si>
    <t>Quantity of hay (pounds/heifer/day)</t>
  </si>
  <si>
    <t>Price of hay ($/pound)</t>
  </si>
  <si>
    <t>Cost of hay ($/heifer)</t>
  </si>
  <si>
    <t>Price of mineral ($/50-pound block)</t>
  </si>
  <si>
    <t>Feed during winter (pounds/heifer/day)</t>
  </si>
  <si>
    <t>Tractor fuel ($/heifer)</t>
  </si>
  <si>
    <t>Tractor lube and repairs ($/heifer)</t>
  </si>
  <si>
    <t>Total cost of tractor ($/heifer)</t>
  </si>
  <si>
    <t>Breeding soundness exam ($/bull/year)</t>
  </si>
  <si>
    <t>Maximum number of purchased heifers per load</t>
  </si>
  <si>
    <t>Weight of purchased heifers going to farm (total pounds)</t>
  </si>
  <si>
    <t>Weight of bred heifers going to market (total pounds)</t>
  </si>
  <si>
    <t>Weight of pairs going to market (total pounds)</t>
  </si>
  <si>
    <t>Weight of open heifers going to market (total pounds)</t>
  </si>
  <si>
    <t>Weight of cattle going to market (total pounds)</t>
  </si>
  <si>
    <t>Commission, average ($/heifer)</t>
  </si>
  <si>
    <t>Salebarn fee (insurance, yardage) ($/heifer)</t>
  </si>
  <si>
    <t>Beef checkoff ($/heifer)</t>
  </si>
  <si>
    <t>Brand inspection ($/heifer)</t>
  </si>
  <si>
    <t>Rate of mineral fed (ounces/heifer/day)</t>
  </si>
  <si>
    <t>Pasture cost for bulls for 2 months ($/heifer)</t>
  </si>
  <si>
    <t>Salvage value of bulls after breeding period ($/bull)</t>
  </si>
  <si>
    <t>Notes</t>
  </si>
  <si>
    <t>Pasture needed for bulls (acres)</t>
  </si>
  <si>
    <t>CIDR ($/heifer)</t>
  </si>
  <si>
    <t>Lutlayse ($/heifer)</t>
  </si>
  <si>
    <t>GNRH ($/heifer)</t>
  </si>
  <si>
    <t>AI Technician ($/heifer)</t>
  </si>
  <si>
    <t>Are you using an artificial insemination (AI) program (y/n)?</t>
  </si>
  <si>
    <t>Semen straw ($/heifer)</t>
  </si>
  <si>
    <t>Roundtrip cost to obtain and deliver bulls ($/heifer)</t>
  </si>
  <si>
    <t>Cost to transport bulls ($/heifer)</t>
  </si>
  <si>
    <t>Number of trips</t>
  </si>
  <si>
    <t>Transport price for heifers in pot belly ($/mile)</t>
  </si>
  <si>
    <t>Commission, average ($/bull)</t>
  </si>
  <si>
    <t>Salebarn fee (insurance, yardage) ($/bull)</t>
  </si>
  <si>
    <t>Beef checkoff ($/bull)</t>
  </si>
  <si>
    <t>Brand inspection ($/bull)</t>
  </si>
  <si>
    <t>Number of bulls</t>
  </si>
  <si>
    <t>%</t>
  </si>
  <si>
    <t>-</t>
  </si>
  <si>
    <t>Total pasture, feed, hay, and mineral cost ($/heifer)</t>
  </si>
  <si>
    <t>Cost of mineral for heifers ($/heifer)</t>
  </si>
  <si>
    <t>Pasture, feed, hay and mineral</t>
  </si>
  <si>
    <t xml:space="preserve">Net return </t>
  </si>
  <si>
    <t>y</t>
  </si>
  <si>
    <t>Marketing (commission, checkoff, etc.)</t>
  </si>
  <si>
    <t>Maximum weight per truck load (lbs/load)</t>
  </si>
  <si>
    <t>Maximum number of open heifers per load</t>
  </si>
  <si>
    <t>Trucks needed to transport cattle from farm to salebarn</t>
  </si>
  <si>
    <t>Trucks needed to transport cattle from salebarn to farm</t>
  </si>
  <si>
    <t>Roundtrip cost to deliver breds, pairs and opens ($)</t>
  </si>
  <si>
    <t>Roundtrip cost transport purchased heifers ($/heifer)</t>
  </si>
  <si>
    <t>Roundtrip cost to deliver breds, pairs and opens ($/heifer)</t>
  </si>
  <si>
    <t>Producer transport price of breeding bulls ($/mile)</t>
  </si>
  <si>
    <t>Transportation Costs: Data and Assumptions</t>
  </si>
  <si>
    <t>Heifer purchase price ($/lb)</t>
  </si>
  <si>
    <t>Sale price of bred heifers ($/hd)</t>
  </si>
  <si>
    <t>Heifer cull price ($/lb)</t>
  </si>
  <si>
    <t>Pasture rental rate ($/acre)</t>
  </si>
  <si>
    <t>Price of grain-based feed ($/ton)</t>
  </si>
  <si>
    <t>Distance to salebarn (miles)</t>
  </si>
  <si>
    <t>Roundtrip distance to and from salebarn (miles)</t>
  </si>
  <si>
    <t>NDSU</t>
  </si>
  <si>
    <t>Producer</t>
  </si>
  <si>
    <t>Cattle Production and Markets: Data and Assumptions</t>
  </si>
  <si>
    <t>NDSU Projections</t>
  </si>
  <si>
    <t>Producer Projections</t>
  </si>
  <si>
    <t>Sources of Revenue, Production Costs and Net Return to Labor, Management and Farm Overhead</t>
  </si>
  <si>
    <t>Interest rate on operating capital (%)</t>
  </si>
  <si>
    <t>Using an A.I. breeding program (y/n)?</t>
  </si>
  <si>
    <t>2.5% of average bodyweight</t>
  </si>
  <si>
    <t>3% of average bodyweight</t>
  </si>
  <si>
    <t>Percent sold as bred heifers, April Y2 (%)</t>
  </si>
  <si>
    <t>Price of transportation ($/mile)</t>
  </si>
  <si>
    <t>Sale price of bred heifers ($/heifer)</t>
  </si>
  <si>
    <t>Sale price of pairs ($/heifer)</t>
  </si>
  <si>
    <t>Price of N (46-0-0) ($/ton)</t>
  </si>
  <si>
    <t>Price of actual N (46-0-0) ($/lb)</t>
  </si>
  <si>
    <t>Custom rate for applying dry fertlizers ($/acre)</t>
  </si>
  <si>
    <t>Cost of fertilizer and application ($/acre)</t>
  </si>
  <si>
    <t>Tractor salvage value at 30% of value ($)</t>
  </si>
  <si>
    <t>Cost of fertilizer and application ($/heifer)</t>
  </si>
  <si>
    <t>Pasture rent cost ($/heifer)</t>
  </si>
  <si>
    <t>Quantity of actual N applied (lbs/acre)</t>
  </si>
  <si>
    <t>Assume rancher uses his own truck and trailer at 2/3 the cost of a commercial truck ($/mile)</t>
  </si>
  <si>
    <t>Tractor, SL depreciation ($/year)</t>
  </si>
  <si>
    <t>Tractor, interest ($/year)</t>
  </si>
  <si>
    <t>Tractor, depreciation plus interest ($/year)</t>
  </si>
  <si>
    <t>Hours in a year</t>
  </si>
  <si>
    <t>Tractor, depreciation and interest ($/heifer)</t>
  </si>
  <si>
    <t>Fuel consumption (gallons/hour)</t>
  </si>
  <si>
    <t>Tractor purchase price (60 HP) ($)</t>
  </si>
  <si>
    <t>Tractor: dep, int, fuel, lube and repairs</t>
  </si>
  <si>
    <t>build in 1.3 square feed of space per 100 lbs of weight</t>
  </si>
  <si>
    <t>n</t>
  </si>
  <si>
    <t>Fixed cost of bulls during heifer development ($/bull)</t>
  </si>
  <si>
    <t>Annual fixed cost of bulls ($/bull)</t>
  </si>
  <si>
    <t>Annual fixed interest cost on breeding bulls ($/bull)</t>
  </si>
  <si>
    <t>Bull cost, depreciation and interest ($/heifer)</t>
  </si>
  <si>
    <t>Life of bulls (months)</t>
  </si>
  <si>
    <t xml:space="preserve">Bull weight </t>
  </si>
  <si>
    <t>Cull bull price ($/lb)</t>
  </si>
  <si>
    <t>Average bull weight (lbs/bull)</t>
  </si>
  <si>
    <t>Breeding period plus resting period (days)</t>
  </si>
  <si>
    <t>Heifer to bull ratio</t>
  </si>
  <si>
    <t>We assume ND producers would sell breeding bulls after the breeding plus rest period.</t>
  </si>
  <si>
    <t>ND average for 2026</t>
  </si>
  <si>
    <t>Parameter assumptions:</t>
  </si>
  <si>
    <t>Heifers purchased, April Y1 (head)</t>
  </si>
  <si>
    <t>Nitrogen rate (lbs actual N/acre)</t>
  </si>
  <si>
    <t>Price of breeding bulls ($/bull)</t>
  </si>
  <si>
    <t>Life of bulls (years)</t>
  </si>
  <si>
    <t>Projected revenue ($/heifer)</t>
  </si>
  <si>
    <t>Projected total cost ($/heifer)</t>
  </si>
  <si>
    <t>Projected net return ($/heifer)</t>
  </si>
  <si>
    <t>Projected net return ($/operation)</t>
  </si>
  <si>
    <t>Projected economics:</t>
  </si>
  <si>
    <t>Difference</t>
  </si>
  <si>
    <t>Pairs sold, adjusted for rounding (head)</t>
  </si>
  <si>
    <t>Total animals sold, not adjusted (head)</t>
  </si>
  <si>
    <t>Cannot sell a portion of an animal</t>
  </si>
  <si>
    <t>primarily used for drylot feeding</t>
  </si>
  <si>
    <t>Essential Parameters and Summary Projected Economic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</si>
</sst>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#,##0.0"/>
    <numFmt numFmtId="166" formatCode="0.0"/>
    <numFmt numFmtId="167" formatCode="0.0%"/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3" fontId="0" fillId="0" borderId="0" xfId="0" applyNumberFormat="1" applyAlignment="1">
      <alignment horizontal="center" wrapText="1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9" fontId="0" fillId="0" borderId="0" xfId="1" applyFont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0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/>
    <xf numFmtId="10" fontId="0" fillId="0" borderId="0" xfId="1" applyNumberFormat="1" applyFont="1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9" fontId="0" fillId="0" borderId="0" xfId="1" applyFont="1" applyAlignment="1" applyProtection="1">
      <alignment horizontal="center"/>
    </xf>
    <xf numFmtId="10" fontId="0" fillId="0" borderId="0" xfId="1" applyNumberFormat="1" applyFont="1" applyAlignment="1" applyProtection="1">
      <alignment horizontal="center"/>
    </xf>
    <xf numFmtId="9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/>
    <xf numFmtId="2" fontId="0" fillId="0" borderId="0" xfId="0" applyNumberFormat="1" applyFont="1" applyAlignment="1" applyProtection="1">
      <alignment horizontal="center"/>
      <protection locked="0"/>
    </xf>
    <xf numFmtId="10" fontId="3" fillId="0" borderId="0" xfId="1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9" fontId="3" fillId="0" borderId="0" xfId="1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9" fontId="0" fillId="0" borderId="0" xfId="1" applyFont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2" fontId="0" fillId="0" borderId="0" xfId="0" applyNumberFormat="1" applyAlignment="1" applyProtection="1">
      <alignment horizontal="center"/>
    </xf>
    <xf numFmtId="3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3" fontId="0" fillId="0" borderId="1" xfId="0" applyNumberFormat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49C2-323F-4B93-A7A8-2CF9C689F902}">
  <dimension ref="A1:D33"/>
  <sheetViews>
    <sheetView showGridLines="0" tabSelected="1" zoomScaleNormal="100" workbookViewId="0">
      <selection activeCell="C4" sqref="C4"/>
    </sheetView>
  </sheetViews>
  <sheetFormatPr defaultColWidth="8.7265625" defaultRowHeight="14.5" x14ac:dyDescent="0.35"/>
  <cols>
    <col min="1" max="1" width="34.81640625" style="39" bestFit="1" customWidth="1"/>
    <col min="2" max="2" width="6.36328125" style="61" bestFit="1" customWidth="1"/>
    <col min="3" max="3" width="8.453125" style="39" bestFit="1" customWidth="1"/>
    <col min="4" max="4" width="11.36328125" style="61" bestFit="1" customWidth="1"/>
    <col min="5" max="15" width="8.7265625" style="39"/>
    <col min="16" max="16" width="9.7265625" style="39" bestFit="1" customWidth="1"/>
    <col min="17" max="16384" width="8.7265625" style="39"/>
  </cols>
  <sheetData>
    <row r="1" spans="1:4" x14ac:dyDescent="0.35">
      <c r="A1" s="62" t="s">
        <v>211</v>
      </c>
      <c r="B1" s="62"/>
      <c r="C1" s="62"/>
      <c r="D1" s="62"/>
    </row>
    <row r="3" spans="1:4" x14ac:dyDescent="0.35">
      <c r="A3" s="40" t="s">
        <v>196</v>
      </c>
      <c r="B3" s="56" t="s">
        <v>151</v>
      </c>
      <c r="C3" s="57" t="s">
        <v>152</v>
      </c>
      <c r="D3" s="55" t="s">
        <v>206</v>
      </c>
    </row>
    <row r="4" spans="1:4" x14ac:dyDescent="0.35">
      <c r="A4" s="39" t="s">
        <v>197</v>
      </c>
      <c r="B4" s="61">
        <f>C4</f>
        <v>100</v>
      </c>
      <c r="C4" s="53">
        <v>100</v>
      </c>
      <c r="D4" s="61" t="str">
        <f>IF((C4-B4)=0,"-",C4-B4)</f>
        <v>-</v>
      </c>
    </row>
    <row r="5" spans="1:4" x14ac:dyDescent="0.35">
      <c r="A5" s="39" t="s">
        <v>144</v>
      </c>
      <c r="B5" s="69">
        <v>3.6</v>
      </c>
      <c r="C5" s="50">
        <v>3.6</v>
      </c>
      <c r="D5" s="61" t="str">
        <f t="shared" ref="D5:D21" si="0">IF((C5-B5)=0,"-",C5-B5)</f>
        <v>-</v>
      </c>
    </row>
    <row r="6" spans="1:4" x14ac:dyDescent="0.35">
      <c r="A6" s="39" t="s">
        <v>161</v>
      </c>
      <c r="B6" s="42">
        <v>0.3</v>
      </c>
      <c r="C6" s="54">
        <v>0.3</v>
      </c>
      <c r="D6" s="59" t="str">
        <f t="shared" si="0"/>
        <v>-</v>
      </c>
    </row>
    <row r="7" spans="1:4" x14ac:dyDescent="0.35">
      <c r="A7" s="39" t="s">
        <v>163</v>
      </c>
      <c r="B7" s="70">
        <v>4200</v>
      </c>
      <c r="C7" s="52">
        <v>4200</v>
      </c>
      <c r="D7" s="61" t="str">
        <f t="shared" si="0"/>
        <v>-</v>
      </c>
    </row>
    <row r="8" spans="1:4" x14ac:dyDescent="0.35">
      <c r="A8" s="39" t="s">
        <v>164</v>
      </c>
      <c r="B8" s="70">
        <v>4300</v>
      </c>
      <c r="C8" s="52">
        <v>4300</v>
      </c>
      <c r="D8" s="61" t="str">
        <f t="shared" si="0"/>
        <v>-</v>
      </c>
    </row>
    <row r="9" spans="1:4" x14ac:dyDescent="0.35">
      <c r="A9" s="39" t="s">
        <v>146</v>
      </c>
      <c r="B9" s="71">
        <v>3.25</v>
      </c>
      <c r="C9" s="53">
        <v>3.25</v>
      </c>
      <c r="D9" s="61" t="str">
        <f t="shared" si="0"/>
        <v>-</v>
      </c>
    </row>
    <row r="10" spans="1:4" x14ac:dyDescent="0.35">
      <c r="A10" s="39" t="s">
        <v>147</v>
      </c>
      <c r="B10" s="71">
        <v>30</v>
      </c>
      <c r="C10" s="53">
        <v>30</v>
      </c>
      <c r="D10" s="61" t="str">
        <f t="shared" si="0"/>
        <v>-</v>
      </c>
    </row>
    <row r="11" spans="1:4" x14ac:dyDescent="0.35">
      <c r="A11" s="39" t="s">
        <v>59</v>
      </c>
      <c r="B11" s="71">
        <v>8</v>
      </c>
      <c r="C11" s="53">
        <v>8</v>
      </c>
      <c r="D11" s="61" t="str">
        <f t="shared" si="0"/>
        <v>-</v>
      </c>
    </row>
    <row r="12" spans="1:4" x14ac:dyDescent="0.35">
      <c r="A12" s="39" t="s">
        <v>53</v>
      </c>
      <c r="B12" s="71">
        <v>180</v>
      </c>
      <c r="C12" s="52">
        <v>180</v>
      </c>
      <c r="D12" s="61" t="str">
        <f t="shared" si="0"/>
        <v>-</v>
      </c>
    </row>
    <row r="13" spans="1:4" x14ac:dyDescent="0.35">
      <c r="A13" s="39" t="s">
        <v>198</v>
      </c>
      <c r="B13" s="71">
        <v>0</v>
      </c>
      <c r="C13" s="53">
        <v>0</v>
      </c>
      <c r="D13" s="61" t="str">
        <f t="shared" si="0"/>
        <v>-</v>
      </c>
    </row>
    <row r="14" spans="1:4" x14ac:dyDescent="0.35">
      <c r="A14" s="39" t="s">
        <v>165</v>
      </c>
      <c r="B14" s="71">
        <v>550</v>
      </c>
      <c r="C14" s="53">
        <v>550</v>
      </c>
      <c r="D14" s="61" t="str">
        <f t="shared" si="0"/>
        <v>-</v>
      </c>
    </row>
    <row r="15" spans="1:4" x14ac:dyDescent="0.35">
      <c r="A15" s="39" t="s">
        <v>148</v>
      </c>
      <c r="B15" s="71">
        <v>150</v>
      </c>
      <c r="C15" s="53">
        <v>150</v>
      </c>
      <c r="D15" s="61" t="str">
        <f t="shared" si="0"/>
        <v>-</v>
      </c>
    </row>
    <row r="16" spans="1:4" x14ac:dyDescent="0.35">
      <c r="A16" s="39" t="s">
        <v>54</v>
      </c>
      <c r="B16" s="71">
        <v>75</v>
      </c>
      <c r="C16" s="53">
        <v>75</v>
      </c>
      <c r="D16" s="61" t="str">
        <f t="shared" si="0"/>
        <v>-</v>
      </c>
    </row>
    <row r="17" spans="1:4" x14ac:dyDescent="0.35">
      <c r="A17" s="39" t="s">
        <v>199</v>
      </c>
      <c r="B17" s="70">
        <v>6000</v>
      </c>
      <c r="C17" s="52">
        <v>6000</v>
      </c>
      <c r="D17" s="61" t="str">
        <f t="shared" si="0"/>
        <v>-</v>
      </c>
    </row>
    <row r="18" spans="1:4" x14ac:dyDescent="0.35">
      <c r="A18" s="39" t="s">
        <v>200</v>
      </c>
      <c r="B18" s="71">
        <v>0.5</v>
      </c>
      <c r="C18" s="53">
        <v>0.5</v>
      </c>
      <c r="D18" s="61" t="str">
        <f t="shared" si="0"/>
        <v>-</v>
      </c>
    </row>
    <row r="19" spans="1:4" x14ac:dyDescent="0.35">
      <c r="A19" s="39" t="s">
        <v>149</v>
      </c>
      <c r="B19" s="71">
        <v>30</v>
      </c>
      <c r="C19" s="53">
        <v>30</v>
      </c>
      <c r="D19" s="61" t="str">
        <f t="shared" si="0"/>
        <v>-</v>
      </c>
    </row>
    <row r="20" spans="1:4" x14ac:dyDescent="0.35">
      <c r="A20" s="39" t="s">
        <v>162</v>
      </c>
      <c r="B20" s="69">
        <v>3.75</v>
      </c>
      <c r="C20" s="50">
        <v>3.75</v>
      </c>
      <c r="D20" s="61" t="str">
        <f t="shared" si="0"/>
        <v>-</v>
      </c>
    </row>
    <row r="21" spans="1:4" x14ac:dyDescent="0.35">
      <c r="A21" s="39" t="s">
        <v>157</v>
      </c>
      <c r="B21" s="43">
        <v>6.5000000000000002E-2</v>
      </c>
      <c r="C21" s="51">
        <v>6.5000000000000002E-2</v>
      </c>
      <c r="D21" s="61" t="str">
        <f t="shared" si="0"/>
        <v>-</v>
      </c>
    </row>
    <row r="22" spans="1:4" x14ac:dyDescent="0.35">
      <c r="A22" s="40" t="s">
        <v>158</v>
      </c>
      <c r="B22" s="72" t="s">
        <v>133</v>
      </c>
      <c r="C22" s="60" t="s">
        <v>183</v>
      </c>
      <c r="D22" s="58" t="str">
        <f>IF(B22=C22,"not different","different")</f>
        <v>different</v>
      </c>
    </row>
    <row r="24" spans="1:4" x14ac:dyDescent="0.35">
      <c r="A24" s="40" t="s">
        <v>205</v>
      </c>
      <c r="B24" s="56" t="s">
        <v>151</v>
      </c>
      <c r="C24" s="57" t="s">
        <v>152</v>
      </c>
      <c r="D24" s="55" t="s">
        <v>206</v>
      </c>
    </row>
    <row r="25" spans="1:4" x14ac:dyDescent="0.35">
      <c r="A25" s="39" t="s">
        <v>201</v>
      </c>
      <c r="B25" s="70">
        <f>'Enterprise Budget'!B8</f>
        <v>4135.5</v>
      </c>
      <c r="C25" s="70">
        <f>'Enterprise Budget'!E8</f>
        <v>4135.5</v>
      </c>
      <c r="D25" s="70">
        <f>C25-B25</f>
        <v>0</v>
      </c>
    </row>
    <row r="26" spans="1:4" x14ac:dyDescent="0.35">
      <c r="A26" s="39" t="s">
        <v>202</v>
      </c>
      <c r="B26" s="70">
        <f>'Enterprise Budget'!B21</f>
        <v>3983.7740584742569</v>
      </c>
      <c r="C26" s="70">
        <f>'Enterprise Budget'!E21</f>
        <v>3934.5905518646678</v>
      </c>
      <c r="D26" s="70">
        <f t="shared" ref="D26:D28" si="1">C26-B26</f>
        <v>-49.183506609589131</v>
      </c>
    </row>
    <row r="27" spans="1:4" x14ac:dyDescent="0.35">
      <c r="A27" s="39" t="s">
        <v>203</v>
      </c>
      <c r="B27" s="70">
        <f>'Enterprise Budget'!B23</f>
        <v>151.72594152574311</v>
      </c>
      <c r="C27" s="70">
        <f>'Enterprise Budget'!E23</f>
        <v>200.90944813533224</v>
      </c>
      <c r="D27" s="70">
        <f t="shared" si="1"/>
        <v>49.183506609589131</v>
      </c>
    </row>
    <row r="28" spans="1:4" x14ac:dyDescent="0.35">
      <c r="A28" s="40" t="s">
        <v>204</v>
      </c>
      <c r="B28" s="73">
        <f>'Enterprise Budget'!C23</f>
        <v>15172.594152574311</v>
      </c>
      <c r="C28" s="73">
        <f>'Enterprise Budget'!F23</f>
        <v>20090.944813533224</v>
      </c>
      <c r="D28" s="73">
        <f t="shared" si="1"/>
        <v>4918.3506609589131</v>
      </c>
    </row>
    <row r="29" spans="1:4" x14ac:dyDescent="0.35">
      <c r="C29" s="61"/>
    </row>
    <row r="30" spans="1:4" x14ac:dyDescent="0.35">
      <c r="B30" s="41"/>
      <c r="C30" s="41"/>
    </row>
    <row r="31" spans="1:4" x14ac:dyDescent="0.35">
      <c r="B31" s="41"/>
      <c r="C31" s="61"/>
    </row>
    <row r="32" spans="1:4" x14ac:dyDescent="0.35">
      <c r="C32" s="61"/>
    </row>
    <row r="33" spans="3:3" x14ac:dyDescent="0.35">
      <c r="C33" s="61"/>
    </row>
  </sheetData>
  <sheetProtection algorithmName="SHA-512" hashValue="vjMcNrOi7/5iiu8ezc2o1ui+ZRsSB3JXWu0+l932bM2xS8qRr7zaI2cTvurZxccdCKyEyDx6iiQUEg80e9QBMg==" saltValue="Nl+siDoTiG97OONAf1u+MQ==" spinCount="100000" sheet="1" objects="1" scenarios="1" selectLockedCells="1"/>
  <mergeCells count="1">
    <mergeCell ref="A1:D1"/>
  </mergeCells>
  <pageMargins left="0.7" right="0.7" top="0.75" bottom="0.75" header="0.3" footer="0.3"/>
  <ignoredErrors>
    <ignoredError sqref="C25:D25 C28 C26:C27 D26:D27 D28 D22 D4:D21 B25:B28 B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EC9B-3296-41A9-B511-66450979CC8E}">
  <dimension ref="A1:O26"/>
  <sheetViews>
    <sheetView showGridLines="0" zoomScaleNormal="100" workbookViewId="0">
      <selection activeCell="B23" sqref="B23"/>
    </sheetView>
  </sheetViews>
  <sheetFormatPr defaultColWidth="33.1796875" defaultRowHeight="14.5" x14ac:dyDescent="0.35"/>
  <cols>
    <col min="1" max="1" width="36.453125" customWidth="1"/>
    <col min="2" max="2" width="8.26953125" style="1" bestFit="1" customWidth="1"/>
    <col min="3" max="3" width="11.54296875" style="1" bestFit="1" customWidth="1"/>
    <col min="4" max="4" width="6.1796875" bestFit="1" customWidth="1"/>
    <col min="5" max="5" width="8.26953125" bestFit="1" customWidth="1"/>
    <col min="6" max="6" width="11.54296875" bestFit="1" customWidth="1"/>
    <col min="7" max="7" width="6.1796875" bestFit="1" customWidth="1"/>
    <col min="9" max="9" width="10.81640625" style="1" customWidth="1"/>
    <col min="10" max="15" width="33.1796875" style="1"/>
  </cols>
  <sheetData>
    <row r="1" spans="1:7" x14ac:dyDescent="0.35">
      <c r="A1" s="63" t="s">
        <v>156</v>
      </c>
      <c r="B1" s="63"/>
      <c r="C1" s="63"/>
      <c r="D1" s="63"/>
      <c r="E1" s="63"/>
      <c r="F1" s="63"/>
      <c r="G1" s="63"/>
    </row>
    <row r="2" spans="1:7" x14ac:dyDescent="0.35">
      <c r="A2" s="22"/>
      <c r="B2" s="22"/>
      <c r="C2" s="22"/>
      <c r="D2" s="22"/>
      <c r="E2" s="22"/>
      <c r="F2" s="22"/>
      <c r="G2" s="22"/>
    </row>
    <row r="3" spans="1:7" x14ac:dyDescent="0.35">
      <c r="A3" s="37"/>
      <c r="B3" s="65" t="s">
        <v>154</v>
      </c>
      <c r="C3" s="65"/>
      <c r="D3" s="65"/>
      <c r="E3" s="64" t="s">
        <v>155</v>
      </c>
      <c r="F3" s="64"/>
      <c r="G3" s="64"/>
    </row>
    <row r="4" spans="1:7" x14ac:dyDescent="0.35">
      <c r="A4" s="2" t="s">
        <v>61</v>
      </c>
      <c r="B4" s="26" t="s">
        <v>80</v>
      </c>
      <c r="C4" s="26" t="s">
        <v>12</v>
      </c>
      <c r="D4" s="26" t="s">
        <v>127</v>
      </c>
      <c r="E4" s="26" t="s">
        <v>80</v>
      </c>
      <c r="F4" s="26" t="s">
        <v>12</v>
      </c>
      <c r="G4" s="26" t="s">
        <v>127</v>
      </c>
    </row>
    <row r="5" spans="1:7" x14ac:dyDescent="0.35">
      <c r="A5" t="s">
        <v>1</v>
      </c>
      <c r="B5" s="5">
        <f>IF('Cattle and Markets'!B11=0,0,'Cattle and Markets'!B9)</f>
        <v>4200</v>
      </c>
      <c r="C5" s="5">
        <f>+B5*'Cattle and Markets'!B12</f>
        <v>113400</v>
      </c>
      <c r="D5" s="9">
        <f>C5/$C$8</f>
        <v>0.27421109902067464</v>
      </c>
      <c r="E5" s="5">
        <f>IF('Cattle and Markets'!C11=0,0,'Cattle and Markets'!C9)</f>
        <v>4200</v>
      </c>
      <c r="F5" s="5">
        <f>+E5*'Cattle and Markets'!C12</f>
        <v>113400</v>
      </c>
      <c r="G5" s="9">
        <f>F5/$F$8</f>
        <v>0.27421109902067464</v>
      </c>
    </row>
    <row r="6" spans="1:7" x14ac:dyDescent="0.35">
      <c r="A6" t="s">
        <v>0</v>
      </c>
      <c r="B6" s="5">
        <f>IF('Cattle and Markets'!B16=0,0,'Cattle and Markets'!B14)</f>
        <v>4300</v>
      </c>
      <c r="C6" s="5">
        <f>B6*'Cattle and Markets'!B17</f>
        <v>270900</v>
      </c>
      <c r="D6" s="9">
        <f t="shared" ref="D6:D8" si="0">C6/$C$8</f>
        <v>0.65505984766050052</v>
      </c>
      <c r="E6" s="5">
        <f>IF('Cattle and Markets'!C16=0,0,'Cattle and Markets'!C14)</f>
        <v>4300</v>
      </c>
      <c r="F6" s="5">
        <f>E6*'Cattle and Markets'!C17</f>
        <v>270900</v>
      </c>
      <c r="G6" s="9">
        <f>F6/$F$8</f>
        <v>0.65505984766050052</v>
      </c>
    </row>
    <row r="7" spans="1:7" x14ac:dyDescent="0.35">
      <c r="A7" t="s">
        <v>73</v>
      </c>
      <c r="B7" s="5">
        <f>'Cattle and Markets'!B21*'Cattle and Markets'!B20</f>
        <v>2925</v>
      </c>
      <c r="C7" s="5">
        <f>B7*'Cattle and Markets'!B23</f>
        <v>29250</v>
      </c>
      <c r="D7" s="9">
        <f t="shared" si="0"/>
        <v>7.0729053318824814E-2</v>
      </c>
      <c r="E7" s="5">
        <f>'Cattle and Markets'!C21*'Cattle and Markets'!C20</f>
        <v>2925</v>
      </c>
      <c r="F7" s="5">
        <f>E7*'Cattle and Markets'!C23</f>
        <v>29250</v>
      </c>
      <c r="G7" s="9">
        <f>F7/$F$8</f>
        <v>7.0729053318824814E-2</v>
      </c>
    </row>
    <row r="8" spans="1:7" x14ac:dyDescent="0.35">
      <c r="A8" t="s">
        <v>8</v>
      </c>
      <c r="B8" s="5">
        <f>C8/'Cattle and Markets'!B4</f>
        <v>4135.5</v>
      </c>
      <c r="C8" s="5">
        <f>SUM(C5:C7)</f>
        <v>413550</v>
      </c>
      <c r="D8" s="9">
        <f t="shared" si="0"/>
        <v>1</v>
      </c>
      <c r="E8" s="5">
        <f>F8/'Cattle and Markets'!C4</f>
        <v>4135.5</v>
      </c>
      <c r="F8" s="5">
        <f>SUM(F5:F7)</f>
        <v>413550</v>
      </c>
      <c r="G8" s="9">
        <f>F8/$F$8</f>
        <v>1</v>
      </c>
    </row>
    <row r="10" spans="1:7" x14ac:dyDescent="0.35">
      <c r="A10" s="2" t="s">
        <v>2</v>
      </c>
      <c r="B10" s="46" t="s">
        <v>80</v>
      </c>
      <c r="C10" s="46" t="s">
        <v>12</v>
      </c>
      <c r="D10" s="26" t="s">
        <v>127</v>
      </c>
      <c r="E10" s="46" t="s">
        <v>80</v>
      </c>
      <c r="F10" s="46" t="s">
        <v>12</v>
      </c>
      <c r="G10" s="26" t="s">
        <v>127</v>
      </c>
    </row>
    <row r="11" spans="1:7" x14ac:dyDescent="0.35">
      <c r="A11" t="s">
        <v>7</v>
      </c>
      <c r="B11" s="5">
        <f>'Cattle and Markets'!B7*'Cattle and Markets'!B6</f>
        <v>2700</v>
      </c>
      <c r="C11" s="12">
        <f>B11*'Cattle and Markets'!$B$4</f>
        <v>270000</v>
      </c>
      <c r="D11" s="44">
        <f>C11/$C$21</f>
        <v>0.67774928004678847</v>
      </c>
      <c r="E11" s="5">
        <f>'Cattle and Markets'!C7*'Cattle and Markets'!C6</f>
        <v>2700</v>
      </c>
      <c r="F11" s="12">
        <f>E11*'Cattle and Markets'!$C$4</f>
        <v>270000</v>
      </c>
      <c r="G11" s="27">
        <f t="shared" ref="G11:G19" si="1">F11/$F$21</f>
        <v>0.68622133978348143</v>
      </c>
    </row>
    <row r="12" spans="1:7" x14ac:dyDescent="0.35">
      <c r="A12" t="s">
        <v>131</v>
      </c>
      <c r="B12" s="6">
        <f>'Pasture and Feed'!B36</f>
        <v>772.65250000000003</v>
      </c>
      <c r="C12" s="12">
        <f>B12*'Cattle and Markets'!$B$4</f>
        <v>77265.25</v>
      </c>
      <c r="D12" s="44">
        <f>C12/$C$21</f>
        <v>0.19394987985235229</v>
      </c>
      <c r="E12" s="6">
        <f>'Pasture and Feed'!C36</f>
        <v>773.33749999999998</v>
      </c>
      <c r="F12" s="12">
        <f>E12*'Cattle and Markets'!$C$4</f>
        <v>77333.75</v>
      </c>
      <c r="G12" s="27">
        <f t="shared" si="1"/>
        <v>0.19654840568696597</v>
      </c>
    </row>
    <row r="13" spans="1:7" x14ac:dyDescent="0.35">
      <c r="A13" t="s">
        <v>181</v>
      </c>
      <c r="B13" s="6">
        <f>'Tractor and Fuel'!B23</f>
        <v>29.581309931506848</v>
      </c>
      <c r="C13" s="12">
        <f>B13*'Cattle and Markets'!$B$4</f>
        <v>2958.1309931506848</v>
      </c>
      <c r="D13" s="8">
        <f>C13/$C$21</f>
        <v>7.4254487070072881E-3</v>
      </c>
      <c r="E13" s="6">
        <f>'Tractor and Fuel'!C23</f>
        <v>29.581309931506848</v>
      </c>
      <c r="F13" s="12">
        <f>E13*'Cattle and Markets'!$C$4</f>
        <v>2958.1309931506848</v>
      </c>
      <c r="G13" s="38">
        <f t="shared" si="1"/>
        <v>7.5182689384255688E-3</v>
      </c>
    </row>
    <row r="14" spans="1:7" x14ac:dyDescent="0.35">
      <c r="A14" t="s">
        <v>3</v>
      </c>
      <c r="B14" s="6">
        <f>'Vet and Health'!C21</f>
        <v>10.529666666666664</v>
      </c>
      <c r="C14" s="12">
        <f>B14*'Cattle and Markets'!$B$4</f>
        <v>1052.9666666666665</v>
      </c>
      <c r="D14" s="8">
        <f t="shared" ref="D14:D21" si="2">C14/$C$21</f>
        <v>2.6431385194318514E-3</v>
      </c>
      <c r="E14" s="6">
        <f>'Vet and Health'!D21</f>
        <v>10.699499999999997</v>
      </c>
      <c r="F14" s="12">
        <f>E14*'Cattle and Markets'!$C$4</f>
        <v>1069.9499999999996</v>
      </c>
      <c r="G14" s="38">
        <f t="shared" si="1"/>
        <v>2.7193426759308729E-3</v>
      </c>
    </row>
    <row r="15" spans="1:7" x14ac:dyDescent="0.35">
      <c r="A15" t="s">
        <v>74</v>
      </c>
      <c r="B15" s="6">
        <f>Breeding!B30</f>
        <v>90.560273972602744</v>
      </c>
      <c r="C15" s="12">
        <f>B15*'Cattle and Markets'!$B$4</f>
        <v>9056.0273972602736</v>
      </c>
      <c r="D15" s="45">
        <f t="shared" si="2"/>
        <v>2.2732281661396819E-2</v>
      </c>
      <c r="E15" s="6">
        <f>Breeding!C30</f>
        <v>40.390410958904113</v>
      </c>
      <c r="F15" s="12">
        <f>E15*'Cattle and Markets'!$C$4</f>
        <v>4039.0410958904113</v>
      </c>
      <c r="G15" s="38">
        <f t="shared" si="1"/>
        <v>1.026546737874985E-2</v>
      </c>
    </row>
    <row r="16" spans="1:7" x14ac:dyDescent="0.35">
      <c r="A16" t="s">
        <v>4</v>
      </c>
      <c r="B16" s="6">
        <f>Transportation!$B$27</f>
        <v>11.926163793103449</v>
      </c>
      <c r="C16" s="12">
        <f>B16*'Cattle and Markets'!$B$4</f>
        <v>1192.6163793103449</v>
      </c>
      <c r="D16" s="8">
        <f t="shared" si="2"/>
        <v>2.9936847868503474E-3</v>
      </c>
      <c r="E16" s="6">
        <f>Transportation!$C$27</f>
        <v>11.926163793103449</v>
      </c>
      <c r="F16" s="12">
        <f>E16*'Cattle and Markets'!$C$4</f>
        <v>1192.6163793103449</v>
      </c>
      <c r="G16" s="38">
        <f t="shared" si="1"/>
        <v>3.0311067024372945E-3</v>
      </c>
    </row>
    <row r="17" spans="1:15" x14ac:dyDescent="0.35">
      <c r="A17" t="s">
        <v>5</v>
      </c>
      <c r="B17" s="6">
        <f>((B12+B13+B14+B15+(B16/2))*('Cattle and Markets'!$B$27/365)*'Pasture and Feed'!B4)</f>
        <v>59.103644110376322</v>
      </c>
      <c r="C17" s="12">
        <f>B17*'Cattle and Markets'!$B$4</f>
        <v>5910.3644110376326</v>
      </c>
      <c r="D17" s="9">
        <f t="shared" si="2"/>
        <v>1.4836093423684875E-2</v>
      </c>
      <c r="E17" s="6">
        <f>((E12+E13+E14+E15+(E16/2))*('Cattle and Markets'!$C$27/365)*'Pasture and Feed'!C4)</f>
        <v>55.898167181152566</v>
      </c>
      <c r="F17" s="12">
        <f>E17*'Cattle and Markets'!$C$4</f>
        <v>5589.8167181152567</v>
      </c>
      <c r="G17" s="27">
        <f t="shared" si="1"/>
        <v>1.4206857472033907E-2</v>
      </c>
    </row>
    <row r="18" spans="1:15" x14ac:dyDescent="0.35">
      <c r="A18" t="s">
        <v>6</v>
      </c>
      <c r="B18" s="6">
        <f>B11*('Cattle and Markets'!$B$27/365)*'Pasture and Feed'!B4</f>
        <v>175.5</v>
      </c>
      <c r="C18" s="12">
        <f>B18*'Cattle and Markets'!$B$4</f>
        <v>17550</v>
      </c>
      <c r="D18" s="44">
        <f t="shared" si="2"/>
        <v>4.405370320304125E-2</v>
      </c>
      <c r="E18" s="6">
        <f>E11*('Cattle and Markets'!$C$27/365)*'Pasture and Feed'!C4</f>
        <v>175.5</v>
      </c>
      <c r="F18" s="12">
        <f>E18*'Cattle and Markets'!$C$4</f>
        <v>17550</v>
      </c>
      <c r="G18" s="27">
        <f t="shared" si="1"/>
        <v>4.4604387085926296E-2</v>
      </c>
    </row>
    <row r="19" spans="1:15" x14ac:dyDescent="0.35">
      <c r="A19" t="s">
        <v>134</v>
      </c>
      <c r="B19" s="6">
        <f>Marketing!B16</f>
        <v>133.9205</v>
      </c>
      <c r="C19" s="12">
        <f>B19*'Cattle and Markets'!$B$4</f>
        <v>13392.050000000001</v>
      </c>
      <c r="D19" s="9">
        <f t="shared" si="2"/>
        <v>3.361648979944664E-2</v>
      </c>
      <c r="E19" s="6">
        <f>Marketing!C16</f>
        <v>137.25749999999999</v>
      </c>
      <c r="F19" s="12">
        <f>E19*'Cattle and Markets'!$C$4</f>
        <v>13725.75</v>
      </c>
      <c r="G19" s="27">
        <f t="shared" si="1"/>
        <v>3.4884824276048595E-2</v>
      </c>
    </row>
    <row r="20" spans="1:15" x14ac:dyDescent="0.35">
      <c r="B20" s="6"/>
      <c r="C20" s="12"/>
      <c r="D20" s="8"/>
      <c r="E20" s="6"/>
      <c r="F20" s="12"/>
      <c r="G20" s="27"/>
    </row>
    <row r="21" spans="1:15" x14ac:dyDescent="0.35">
      <c r="A21" t="s">
        <v>9</v>
      </c>
      <c r="B21" s="6">
        <f>SUM(B11:B19)</f>
        <v>3983.7740584742569</v>
      </c>
      <c r="C21" s="12">
        <f>B21*'Cattle and Markets'!$B$4</f>
        <v>398377.40584742569</v>
      </c>
      <c r="D21" s="9">
        <f t="shared" si="2"/>
        <v>1</v>
      </c>
      <c r="E21" s="6">
        <f>SUM(E11:E19)</f>
        <v>3934.5905518646678</v>
      </c>
      <c r="F21" s="12">
        <f>E21*'Cattle and Markets'!$C$4</f>
        <v>393459.05518646678</v>
      </c>
      <c r="G21" s="27">
        <f>F21/$F$21</f>
        <v>1</v>
      </c>
    </row>
    <row r="22" spans="1:15" x14ac:dyDescent="0.35">
      <c r="C22" s="5"/>
      <c r="E22" s="1"/>
      <c r="F22" s="5"/>
    </row>
    <row r="23" spans="1:15" x14ac:dyDescent="0.35">
      <c r="A23" s="2" t="s">
        <v>132</v>
      </c>
      <c r="B23" s="15">
        <f>B8-B21</f>
        <v>151.72594152574311</v>
      </c>
      <c r="C23" s="16">
        <f>B23*'Cattle and Markets'!$B$4</f>
        <v>15172.594152574311</v>
      </c>
      <c r="D23" s="25" t="s">
        <v>128</v>
      </c>
      <c r="E23" s="15">
        <f>E8-E21</f>
        <v>200.90944813533224</v>
      </c>
      <c r="F23" s="16">
        <f>E23*'Cattle and Markets'!$C$4</f>
        <v>20090.944813533224</v>
      </c>
      <c r="G23" s="25" t="s">
        <v>128</v>
      </c>
    </row>
    <row r="25" spans="1:15" x14ac:dyDescent="0.35">
      <c r="K25" s="19"/>
      <c r="M25" s="19"/>
      <c r="N25" s="18"/>
      <c r="O25" s="19"/>
    </row>
    <row r="26" spans="1:15" x14ac:dyDescent="0.35">
      <c r="J26" s="20"/>
      <c r="K26" s="19"/>
      <c r="M26" s="19"/>
      <c r="O26" s="19"/>
    </row>
  </sheetData>
  <sheetProtection algorithmName="SHA-512" hashValue="kh2mL2OlaDNHjrBOa5iUSJ/xbwuAr/YD0HDLKLGdw9b2+VIUPLcgGK/TPpE5+bzGEcmDe+L682Z4mAFnKah0OQ==" saltValue="DjvZ4E9np/N+QN+9qEru6w==" spinCount="100000" sheet="1" objects="1" scenarios="1"/>
  <mergeCells count="3">
    <mergeCell ref="A1:G1"/>
    <mergeCell ref="E3:G3"/>
    <mergeCell ref="B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470F-2A6E-43C3-B323-5E11584D91DB}">
  <dimension ref="A1:D31"/>
  <sheetViews>
    <sheetView showGridLines="0" zoomScale="90" zoomScaleNormal="90" workbookViewId="0">
      <selection activeCell="C29" sqref="C29"/>
    </sheetView>
  </sheetViews>
  <sheetFormatPr defaultRowHeight="14.5" x14ac:dyDescent="0.35"/>
  <cols>
    <col min="1" max="1" width="48.1796875" customWidth="1"/>
    <col min="4" max="4" width="8.7265625" style="1"/>
  </cols>
  <sheetData>
    <row r="1" spans="1:4" x14ac:dyDescent="0.35">
      <c r="A1" s="66" t="s">
        <v>153</v>
      </c>
      <c r="B1" s="66"/>
      <c r="C1" s="66"/>
    </row>
    <row r="3" spans="1:4" x14ac:dyDescent="0.35">
      <c r="A3" s="11" t="s">
        <v>71</v>
      </c>
      <c r="B3" s="32" t="s">
        <v>151</v>
      </c>
      <c r="C3" s="35" t="s">
        <v>152</v>
      </c>
      <c r="D3" s="1" t="s">
        <v>110</v>
      </c>
    </row>
    <row r="4" spans="1:4" x14ac:dyDescent="0.35">
      <c r="A4" s="3" t="s">
        <v>51</v>
      </c>
      <c r="B4" s="5">
        <f>'Producer Set Up'!$B$4</f>
        <v>100</v>
      </c>
      <c r="C4" s="5">
        <f>'Producer Set Up'!$C$4</f>
        <v>100</v>
      </c>
    </row>
    <row r="5" spans="1:4" x14ac:dyDescent="0.35">
      <c r="A5" s="3"/>
      <c r="B5" s="5"/>
      <c r="C5" s="5"/>
    </row>
    <row r="6" spans="1:4" x14ac:dyDescent="0.35">
      <c r="A6" s="3" t="s">
        <v>144</v>
      </c>
      <c r="B6" s="6">
        <f>'Producer Set Up'!$B$5</f>
        <v>3.6</v>
      </c>
      <c r="C6" s="6">
        <f>'Producer Set Up'!$C$5</f>
        <v>3.6</v>
      </c>
    </row>
    <row r="7" spans="1:4" x14ac:dyDescent="0.35">
      <c r="A7" s="3" t="s">
        <v>81</v>
      </c>
      <c r="B7" s="5">
        <v>750</v>
      </c>
      <c r="C7" s="5">
        <v>750</v>
      </c>
    </row>
    <row r="8" spans="1:4" x14ac:dyDescent="0.35">
      <c r="A8" s="3"/>
      <c r="B8" s="1"/>
      <c r="C8" s="1"/>
    </row>
    <row r="9" spans="1:4" x14ac:dyDescent="0.35">
      <c r="A9" s="3" t="s">
        <v>145</v>
      </c>
      <c r="B9" s="5">
        <f>'Producer Set Up'!$B$7</f>
        <v>4200</v>
      </c>
      <c r="C9" s="5">
        <f>'Producer Set Up'!$C$7</f>
        <v>4200</v>
      </c>
    </row>
    <row r="10" spans="1:4" x14ac:dyDescent="0.35">
      <c r="A10" s="3" t="s">
        <v>83</v>
      </c>
      <c r="B10" s="5">
        <v>1100</v>
      </c>
      <c r="C10" s="5">
        <v>1100</v>
      </c>
    </row>
    <row r="11" spans="1:4" x14ac:dyDescent="0.35">
      <c r="A11" s="3" t="s">
        <v>14</v>
      </c>
      <c r="B11" s="9">
        <f>'Producer Set Up'!$B$6</f>
        <v>0.3</v>
      </c>
      <c r="C11" s="9">
        <f>'Producer Set Up'!$C$6</f>
        <v>0.3</v>
      </c>
    </row>
    <row r="12" spans="1:4" x14ac:dyDescent="0.35">
      <c r="A12" s="3" t="s">
        <v>10</v>
      </c>
      <c r="B12" s="6">
        <f>ROUND(B11*(B4-B23),0)</f>
        <v>27</v>
      </c>
      <c r="C12" s="6">
        <f>ROUND(C11*(C4-C23),0)</f>
        <v>27</v>
      </c>
    </row>
    <row r="13" spans="1:4" x14ac:dyDescent="0.35">
      <c r="A13" s="3"/>
      <c r="B13" s="5"/>
      <c r="C13" s="5"/>
    </row>
    <row r="14" spans="1:4" x14ac:dyDescent="0.35">
      <c r="A14" s="3" t="s">
        <v>11</v>
      </c>
      <c r="B14" s="5">
        <f>'Producer Set Up'!$B$8</f>
        <v>4300</v>
      </c>
      <c r="C14" s="5">
        <f>'Producer Set Up'!$C$8</f>
        <v>4300</v>
      </c>
    </row>
    <row r="15" spans="1:4" x14ac:dyDescent="0.35">
      <c r="A15" s="3" t="s">
        <v>84</v>
      </c>
      <c r="B15" s="5">
        <v>1000</v>
      </c>
      <c r="C15" s="5">
        <v>1000</v>
      </c>
    </row>
    <row r="16" spans="1:4" x14ac:dyDescent="0.35">
      <c r="A16" s="3" t="s">
        <v>16</v>
      </c>
      <c r="B16" s="9">
        <f>1-B11</f>
        <v>0.7</v>
      </c>
      <c r="C16" s="9">
        <f>1-C11</f>
        <v>0.7</v>
      </c>
    </row>
    <row r="17" spans="1:4" x14ac:dyDescent="0.35">
      <c r="A17" s="3" t="s">
        <v>56</v>
      </c>
      <c r="B17" s="6">
        <f>ROUND(B16*(B4-B23),0)</f>
        <v>63</v>
      </c>
      <c r="C17" s="6">
        <f>ROUND(C16*(C4-C23),0)</f>
        <v>63</v>
      </c>
    </row>
    <row r="18" spans="1:4" x14ac:dyDescent="0.35">
      <c r="A18" s="48" t="s">
        <v>207</v>
      </c>
      <c r="B18" s="6">
        <f>IF(B25=B4,B17,IF(B25&gt;B4,(B17-(B25-B4))))</f>
        <v>63</v>
      </c>
      <c r="C18" s="6">
        <f>IF(C25=C4,C17,IF(C25&gt;C4,(C17-(C25-C4))))</f>
        <v>63</v>
      </c>
      <c r="D18" s="48" t="s">
        <v>209</v>
      </c>
    </row>
    <row r="19" spans="1:4" x14ac:dyDescent="0.35">
      <c r="A19" s="3"/>
      <c r="B19" s="28"/>
      <c r="C19" s="28"/>
    </row>
    <row r="20" spans="1:4" x14ac:dyDescent="0.35">
      <c r="A20" s="3" t="s">
        <v>82</v>
      </c>
      <c r="B20" s="6">
        <f>'Producer Set Up'!$B$9</f>
        <v>3.25</v>
      </c>
      <c r="C20" s="6">
        <f>'Producer Set Up'!$C$9</f>
        <v>3.25</v>
      </c>
    </row>
    <row r="21" spans="1:4" x14ac:dyDescent="0.35">
      <c r="A21" s="3" t="s">
        <v>85</v>
      </c>
      <c r="B21" s="5">
        <v>900</v>
      </c>
      <c r="C21" s="5">
        <v>900</v>
      </c>
    </row>
    <row r="22" spans="1:4" x14ac:dyDescent="0.35">
      <c r="A22" s="3" t="s">
        <v>15</v>
      </c>
      <c r="B22" s="9">
        <v>0.1</v>
      </c>
      <c r="C22" s="9">
        <v>0.1</v>
      </c>
    </row>
    <row r="23" spans="1:4" x14ac:dyDescent="0.35">
      <c r="A23" s="3" t="s">
        <v>13</v>
      </c>
      <c r="B23" s="28">
        <f>ROUND(B4*B22,0)</f>
        <v>10</v>
      </c>
      <c r="C23" s="28">
        <f>ROUND(C4*C22,0)</f>
        <v>10</v>
      </c>
    </row>
    <row r="24" spans="1:4" x14ac:dyDescent="0.35">
      <c r="A24" s="48"/>
      <c r="B24" s="28"/>
      <c r="C24" s="28"/>
    </row>
    <row r="25" spans="1:4" x14ac:dyDescent="0.35">
      <c r="A25" s="3" t="s">
        <v>208</v>
      </c>
      <c r="B25" s="6">
        <f>B12+B17+B23</f>
        <v>100</v>
      </c>
      <c r="C25" s="6">
        <f>C12+C17+C23</f>
        <v>100</v>
      </c>
    </row>
    <row r="26" spans="1:4" x14ac:dyDescent="0.35">
      <c r="A26" s="48"/>
      <c r="B26" s="6"/>
      <c r="C26" s="6"/>
    </row>
    <row r="27" spans="1:4" x14ac:dyDescent="0.35">
      <c r="A27" s="3" t="s">
        <v>49</v>
      </c>
      <c r="B27" s="8">
        <f>'Producer Set Up'!$B$21</f>
        <v>6.5000000000000002E-2</v>
      </c>
      <c r="C27" s="8">
        <f>'Producer Set Up'!$C$21</f>
        <v>6.5000000000000002E-2</v>
      </c>
    </row>
    <row r="28" spans="1:4" x14ac:dyDescent="0.35">
      <c r="A28" s="3"/>
      <c r="B28" s="1"/>
      <c r="C28" s="1"/>
    </row>
    <row r="29" spans="1:4" x14ac:dyDescent="0.35">
      <c r="A29" s="4" t="s">
        <v>64</v>
      </c>
      <c r="B29" s="33">
        <f>B27+0.01</f>
        <v>7.4999999999999997E-2</v>
      </c>
      <c r="C29" s="33">
        <f>C27+0.01</f>
        <v>7.4999999999999997E-2</v>
      </c>
    </row>
    <row r="30" spans="1:4" x14ac:dyDescent="0.35">
      <c r="A30" s="67"/>
      <c r="B30" s="67"/>
      <c r="C30" s="67"/>
    </row>
    <row r="31" spans="1:4" x14ac:dyDescent="0.35">
      <c r="B31" s="49"/>
      <c r="C31" s="49"/>
    </row>
  </sheetData>
  <sheetProtection algorithmName="SHA-512" hashValue="Mdif5ZyLPcrBCprRYYAcgHAZMTpNnaMsd78hhoNu+7oXVpK3okltYnhqgeu+izxpHP62A7lm2unPEoGRTFhf4w==" saltValue="KLByTk545Z6FVi5/64Gxvg==" spinCount="100000" sheet="1" objects="1" scenarios="1"/>
  <protectedRanges>
    <protectedRange algorithmName="SHA-512" hashValue="3DBaUImabyQH/HHfqDclv0ajZgzGr7fDd7mu/AKvqIHP6T1hkSqFzfS9iv8jq9MjJlg7uJ+wFTOIHYtnLNoeRw==" saltValue="HHfP1pG502zrIkPGOFp+3A==" spinCount="100000" sqref="B11:C11 B14:C14 B20:C20 B27:C27 B29:C29 B4:C6" name="Range1" securityDescriptor="O:WDG:WDD:(A;;CC;;;S-1-5-21-145012770-2172889430-2296263792-233882)"/>
  </protectedRanges>
  <mergeCells count="2">
    <mergeCell ref="A1:C1"/>
    <mergeCell ref="A30:C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6690-767D-4AB9-BFE9-3B5CF7515619}">
  <dimension ref="A1:D37"/>
  <sheetViews>
    <sheetView showGridLines="0" zoomScale="90" zoomScaleNormal="90" workbookViewId="0">
      <selection activeCell="C10" sqref="C10"/>
    </sheetView>
  </sheetViews>
  <sheetFormatPr defaultRowHeight="14.5" x14ac:dyDescent="0.35"/>
  <cols>
    <col min="1" max="1" width="51.81640625" customWidth="1"/>
  </cols>
  <sheetData>
    <row r="1" spans="1:4" x14ac:dyDescent="0.35">
      <c r="A1" s="66" t="s">
        <v>79</v>
      </c>
      <c r="B1" s="66"/>
      <c r="C1" s="66"/>
    </row>
    <row r="3" spans="1:4" x14ac:dyDescent="0.35">
      <c r="A3" s="2" t="s">
        <v>71</v>
      </c>
      <c r="B3" s="34" t="s">
        <v>151</v>
      </c>
      <c r="C3" s="35" t="s">
        <v>152</v>
      </c>
      <c r="D3" t="s">
        <v>110</v>
      </c>
    </row>
    <row r="4" spans="1:4" x14ac:dyDescent="0.35">
      <c r="A4" s="3" t="s">
        <v>50</v>
      </c>
      <c r="B4" s="5">
        <v>365</v>
      </c>
      <c r="C4" s="5">
        <v>365</v>
      </c>
    </row>
    <row r="5" spans="1:4" x14ac:dyDescent="0.35">
      <c r="A5" s="3" t="s">
        <v>53</v>
      </c>
      <c r="B5" s="5">
        <f>'Producer Set Up'!$B$12</f>
        <v>180</v>
      </c>
      <c r="C5" s="5">
        <f>'Producer Set Up'!$C$12</f>
        <v>180</v>
      </c>
    </row>
    <row r="6" spans="1:4" x14ac:dyDescent="0.35">
      <c r="A6" s="3" t="s">
        <v>40</v>
      </c>
      <c r="B6" s="6">
        <f>'Producer Set Up'!$B$10</f>
        <v>30</v>
      </c>
      <c r="C6" s="29">
        <f>'Producer Set Up'!$C$10</f>
        <v>30</v>
      </c>
    </row>
    <row r="7" spans="1:4" x14ac:dyDescent="0.35">
      <c r="A7" s="3" t="s">
        <v>59</v>
      </c>
      <c r="B7" s="6">
        <f>'Producer Set Up'!B11</f>
        <v>8</v>
      </c>
      <c r="C7" s="29">
        <f>'Producer Set Up'!C11</f>
        <v>8</v>
      </c>
    </row>
    <row r="8" spans="1:4" x14ac:dyDescent="0.35">
      <c r="A8" s="3" t="s">
        <v>171</v>
      </c>
      <c r="B8" s="6">
        <f>(B6*B7)</f>
        <v>240</v>
      </c>
      <c r="C8" s="6">
        <f>(C6*C7)</f>
        <v>240</v>
      </c>
    </row>
    <row r="9" spans="1:4" x14ac:dyDescent="0.35">
      <c r="A9" s="3" t="s">
        <v>60</v>
      </c>
      <c r="B9" s="6">
        <f>B7+2</f>
        <v>10</v>
      </c>
      <c r="C9" s="6">
        <f>C7+2</f>
        <v>10</v>
      </c>
    </row>
    <row r="10" spans="1:4" x14ac:dyDescent="0.35">
      <c r="A10" s="3" t="s">
        <v>111</v>
      </c>
      <c r="B10" s="6">
        <f>+B9*Breeding!B13</f>
        <v>30</v>
      </c>
      <c r="C10" s="6">
        <f>+C9*Breeding!C13</f>
        <v>50</v>
      </c>
    </row>
    <row r="11" spans="1:4" x14ac:dyDescent="0.35">
      <c r="A11" s="3" t="s">
        <v>108</v>
      </c>
      <c r="B11" s="6">
        <f>((B6/12)*B10)/'Cattle and Markets'!B4</f>
        <v>0.75</v>
      </c>
      <c r="C11" s="6">
        <f>((C6/12)*C10)/'Cattle and Markets'!C4</f>
        <v>1.25</v>
      </c>
    </row>
    <row r="12" spans="1:4" x14ac:dyDescent="0.35">
      <c r="A12" s="3" t="s">
        <v>172</v>
      </c>
      <c r="B12" s="5">
        <f>'Producer Set Up'!B13</f>
        <v>0</v>
      </c>
      <c r="C12" s="5">
        <f>'Producer Set Up'!C13</f>
        <v>0</v>
      </c>
    </row>
    <row r="13" spans="1:4" x14ac:dyDescent="0.35">
      <c r="A13" s="3" t="s">
        <v>165</v>
      </c>
      <c r="B13" s="5">
        <f>'Producer Set Up'!B14</f>
        <v>550</v>
      </c>
      <c r="C13" s="5">
        <f>'Producer Set Up'!C14</f>
        <v>550</v>
      </c>
    </row>
    <row r="14" spans="1:4" x14ac:dyDescent="0.35">
      <c r="A14" s="3" t="s">
        <v>166</v>
      </c>
      <c r="B14" s="6">
        <f>B13/(0.46*2000)</f>
        <v>0.59782608695652173</v>
      </c>
      <c r="C14" s="6">
        <f>C13/(0.46*2000)</f>
        <v>0.59782608695652173</v>
      </c>
    </row>
    <row r="15" spans="1:4" x14ac:dyDescent="0.35">
      <c r="A15" s="3" t="s">
        <v>167</v>
      </c>
      <c r="B15" s="6">
        <v>6</v>
      </c>
      <c r="C15" s="6">
        <v>6</v>
      </c>
    </row>
    <row r="16" spans="1:4" x14ac:dyDescent="0.35">
      <c r="A16" s="3" t="s">
        <v>168</v>
      </c>
      <c r="B16" s="6">
        <f>IF(B12&gt;0,((B14*B12)+B15),0)</f>
        <v>0</v>
      </c>
      <c r="C16" s="6">
        <f>IF(C12&gt;0,((C14*C12)+C15),0)</f>
        <v>0</v>
      </c>
    </row>
    <row r="17" spans="1:4" x14ac:dyDescent="0.35">
      <c r="A17" s="3" t="s">
        <v>170</v>
      </c>
      <c r="B17" s="6">
        <f>B16*B7</f>
        <v>0</v>
      </c>
      <c r="C17" s="6">
        <f>C16*C7</f>
        <v>0</v>
      </c>
    </row>
    <row r="18" spans="1:4" x14ac:dyDescent="0.35">
      <c r="A18" s="22" t="s">
        <v>69</v>
      </c>
      <c r="B18" s="6">
        <f>B8+B11+B17</f>
        <v>240.75</v>
      </c>
      <c r="C18" s="29">
        <f>C8+C11+C17</f>
        <v>241.25</v>
      </c>
    </row>
    <row r="19" spans="1:4" x14ac:dyDescent="0.35">
      <c r="A19" s="22"/>
      <c r="B19" s="29"/>
      <c r="C19" s="29"/>
    </row>
    <row r="20" spans="1:4" x14ac:dyDescent="0.35">
      <c r="A20" s="13" t="s">
        <v>55</v>
      </c>
      <c r="B20" s="5">
        <f>B4-B5</f>
        <v>185</v>
      </c>
      <c r="C20" s="5">
        <f>C4-C5</f>
        <v>185</v>
      </c>
    </row>
    <row r="21" spans="1:4" x14ac:dyDescent="0.35">
      <c r="A21" s="3" t="s">
        <v>92</v>
      </c>
      <c r="B21" s="6">
        <f>0.025*(('Cattle and Markets'!B7+'Cattle and Markets'!B10)/2)</f>
        <v>23.125</v>
      </c>
      <c r="C21" s="6">
        <f>0.025*(('Cattle and Markets'!C7+'Cattle and Markets'!C10)/2)</f>
        <v>23.125</v>
      </c>
      <c r="D21" t="s">
        <v>159</v>
      </c>
    </row>
    <row r="22" spans="1:4" x14ac:dyDescent="0.35">
      <c r="A22" s="3" t="s">
        <v>39</v>
      </c>
      <c r="B22" s="5">
        <f>'Producer Set Up'!$B$15</f>
        <v>150</v>
      </c>
      <c r="C22" s="5">
        <f>'Producer Set Up'!$C$15</f>
        <v>150</v>
      </c>
    </row>
    <row r="23" spans="1:4" x14ac:dyDescent="0.35">
      <c r="A23" s="3" t="s">
        <v>86</v>
      </c>
      <c r="B23" s="6">
        <f>B22/2000</f>
        <v>7.4999999999999997E-2</v>
      </c>
      <c r="C23" s="6">
        <f>C22/2000</f>
        <v>7.4999999999999997E-2</v>
      </c>
    </row>
    <row r="24" spans="1:4" x14ac:dyDescent="0.35">
      <c r="A24" s="22" t="s">
        <v>87</v>
      </c>
      <c r="B24" s="29">
        <f>(B20*B21*B23)</f>
        <v>320.859375</v>
      </c>
      <c r="C24" s="29">
        <f>(C20*C21*C23)</f>
        <v>320.859375</v>
      </c>
    </row>
    <row r="25" spans="1:4" x14ac:dyDescent="0.35">
      <c r="A25" s="13" t="s">
        <v>52</v>
      </c>
      <c r="B25" s="5">
        <f>B20</f>
        <v>185</v>
      </c>
      <c r="C25" s="5">
        <f>C20</f>
        <v>185</v>
      </c>
    </row>
    <row r="26" spans="1:4" x14ac:dyDescent="0.35">
      <c r="A26" s="3" t="s">
        <v>88</v>
      </c>
      <c r="B26" s="6">
        <f>0.03*(('Cattle and Markets'!B7+'Cattle and Markets'!B10)/2)</f>
        <v>27.75</v>
      </c>
      <c r="C26" s="6">
        <f>0.03*(('Cattle and Markets'!C7+'Cattle and Markets'!C10)/2)</f>
        <v>27.75</v>
      </c>
      <c r="D26" t="s">
        <v>160</v>
      </c>
    </row>
    <row r="27" spans="1:4" x14ac:dyDescent="0.35">
      <c r="A27" s="3" t="s">
        <v>54</v>
      </c>
      <c r="B27" s="6">
        <f>'Producer Set Up'!$B$16</f>
        <v>75</v>
      </c>
      <c r="C27" s="6">
        <f>'Producer Set Up'!$C$16</f>
        <v>75</v>
      </c>
    </row>
    <row r="28" spans="1:4" x14ac:dyDescent="0.35">
      <c r="A28" s="3" t="s">
        <v>89</v>
      </c>
      <c r="B28" s="6">
        <f>B27/2000</f>
        <v>3.7499999999999999E-2</v>
      </c>
      <c r="C28" s="6">
        <f>C27/2000</f>
        <v>3.7499999999999999E-2</v>
      </c>
    </row>
    <row r="29" spans="1:4" x14ac:dyDescent="0.35">
      <c r="A29" s="22" t="s">
        <v>90</v>
      </c>
      <c r="B29" s="29">
        <f>B25*B26*B28</f>
        <v>192.515625</v>
      </c>
      <c r="C29" s="29">
        <f>C25*C26*C28</f>
        <v>192.515625</v>
      </c>
    </row>
    <row r="30" spans="1:4" x14ac:dyDescent="0.35">
      <c r="A30" s="3" t="s">
        <v>91</v>
      </c>
      <c r="B30" s="6">
        <v>10</v>
      </c>
      <c r="C30" s="6">
        <v>10</v>
      </c>
    </row>
    <row r="31" spans="1:4" x14ac:dyDescent="0.35">
      <c r="A31" s="3" t="s">
        <v>62</v>
      </c>
      <c r="B31" s="30">
        <f>B30/(50*16)</f>
        <v>1.2500000000000001E-2</v>
      </c>
      <c r="C31" s="30">
        <f>C30/(50*16)</f>
        <v>1.2500000000000001E-2</v>
      </c>
    </row>
    <row r="32" spans="1:4" x14ac:dyDescent="0.35">
      <c r="A32" s="3" t="s">
        <v>107</v>
      </c>
      <c r="B32" s="6">
        <v>4</v>
      </c>
      <c r="C32" s="6">
        <v>4</v>
      </c>
    </row>
    <row r="33" spans="1:3" x14ac:dyDescent="0.35">
      <c r="A33" s="22" t="s">
        <v>130</v>
      </c>
      <c r="B33" s="29">
        <f>B31*B32*B4</f>
        <v>18.25</v>
      </c>
      <c r="C33" s="29">
        <f>C31*C32*C4</f>
        <v>18.25</v>
      </c>
    </row>
    <row r="34" spans="1:3" x14ac:dyDescent="0.35">
      <c r="A34" s="22" t="s">
        <v>63</v>
      </c>
      <c r="B34" s="29">
        <f>(B31*B32*B25*Breeding!B13)/'Cattle and Markets'!B4</f>
        <v>0.27750000000000002</v>
      </c>
      <c r="C34" s="29">
        <f>(C31*C32*C25*Breeding!C13)/'Cattle and Markets'!C4</f>
        <v>0.46250000000000002</v>
      </c>
    </row>
    <row r="35" spans="1:3" x14ac:dyDescent="0.35">
      <c r="B35" s="1"/>
      <c r="C35" s="1"/>
    </row>
    <row r="36" spans="1:3" x14ac:dyDescent="0.35">
      <c r="A36" s="11" t="s">
        <v>129</v>
      </c>
      <c r="B36" s="23">
        <f>B18+B24+B29+B33+B34</f>
        <v>772.65250000000003</v>
      </c>
      <c r="C36" s="23">
        <f>C18+C24+C29+C33+C34</f>
        <v>773.33749999999998</v>
      </c>
    </row>
    <row r="37" spans="1:3" x14ac:dyDescent="0.35">
      <c r="A37" s="68"/>
      <c r="B37" s="68"/>
    </row>
  </sheetData>
  <sheetProtection algorithmName="SHA-512" hashValue="kAk/ESDPHiZt/hIMXQeGRLWB/vvjKY/XHLteHkR17c7NSZtFxalzkIdKIGs+Ss53HoJrJJF4j3/kIQaSbvAz7Q==" saltValue="J75Qa7VZvEwoIG6piIVRZw==" spinCount="100000" sheet="1" objects="1" scenarios="1"/>
  <mergeCells count="2">
    <mergeCell ref="A37:B37"/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A5D8-EAF7-4197-A8DB-035C764EAEF6}">
  <dimension ref="A1:D24"/>
  <sheetViews>
    <sheetView showGridLines="0" workbookViewId="0">
      <selection activeCell="C23" sqref="C23"/>
    </sheetView>
  </sheetViews>
  <sheetFormatPr defaultRowHeight="14.5" x14ac:dyDescent="0.35"/>
  <cols>
    <col min="1" max="1" width="45.453125" bestFit="1" customWidth="1"/>
    <col min="2" max="2" width="11" customWidth="1"/>
  </cols>
  <sheetData>
    <row r="1" spans="1:4" x14ac:dyDescent="0.35">
      <c r="A1" s="66" t="s">
        <v>78</v>
      </c>
      <c r="B1" s="66"/>
      <c r="C1" s="66"/>
    </row>
    <row r="3" spans="1:4" x14ac:dyDescent="0.35">
      <c r="A3" s="17" t="s">
        <v>72</v>
      </c>
      <c r="B3" s="34" t="s">
        <v>151</v>
      </c>
      <c r="C3" s="35" t="s">
        <v>152</v>
      </c>
    </row>
    <row r="4" spans="1:4" x14ac:dyDescent="0.35">
      <c r="A4" t="s">
        <v>180</v>
      </c>
      <c r="B4" s="5">
        <v>45000</v>
      </c>
      <c r="C4" s="5">
        <v>45000</v>
      </c>
    </row>
    <row r="5" spans="1:4" x14ac:dyDescent="0.35">
      <c r="A5" t="s">
        <v>41</v>
      </c>
      <c r="B5" s="1">
        <v>15</v>
      </c>
      <c r="C5" s="1">
        <v>15</v>
      </c>
    </row>
    <row r="6" spans="1:4" x14ac:dyDescent="0.35">
      <c r="A6" t="s">
        <v>64</v>
      </c>
      <c r="B6" s="8">
        <f>'Cattle and Markets'!$B$29</f>
        <v>7.4999999999999997E-2</v>
      </c>
      <c r="C6" s="8">
        <f>'Cattle and Markets'!$C$29</f>
        <v>7.4999999999999997E-2</v>
      </c>
    </row>
    <row r="7" spans="1:4" x14ac:dyDescent="0.35">
      <c r="A7" t="s">
        <v>169</v>
      </c>
      <c r="B7" s="5">
        <f>0.3*B4</f>
        <v>13500</v>
      </c>
      <c r="C7" s="5">
        <f>0.3*C4</f>
        <v>13500</v>
      </c>
    </row>
    <row r="8" spans="1:4" x14ac:dyDescent="0.35">
      <c r="A8" t="s">
        <v>174</v>
      </c>
      <c r="B8" s="31">
        <f>(B4-B7)/B5</f>
        <v>2100</v>
      </c>
      <c r="C8" s="31">
        <f>(C4-C7)/C5</f>
        <v>2100</v>
      </c>
    </row>
    <row r="9" spans="1:4" x14ac:dyDescent="0.35">
      <c r="A9" t="s">
        <v>175</v>
      </c>
      <c r="B9" s="31">
        <f>B6*((B4+B7)/2)</f>
        <v>2193.75</v>
      </c>
      <c r="C9" s="31">
        <f>C6*((C4+C7)/2)</f>
        <v>2193.75</v>
      </c>
    </row>
    <row r="10" spans="1:4" x14ac:dyDescent="0.35">
      <c r="A10" t="s">
        <v>176</v>
      </c>
      <c r="B10" s="31">
        <f>B8+B9</f>
        <v>4293.75</v>
      </c>
      <c r="C10" s="31">
        <f>C8+C9</f>
        <v>4293.75</v>
      </c>
    </row>
    <row r="11" spans="1:4" x14ac:dyDescent="0.35">
      <c r="A11" t="s">
        <v>42</v>
      </c>
      <c r="B11" s="7">
        <v>2</v>
      </c>
      <c r="C11" s="7">
        <v>2</v>
      </c>
    </row>
    <row r="12" spans="1:4" x14ac:dyDescent="0.35">
      <c r="A12" t="s">
        <v>43</v>
      </c>
      <c r="B12" s="1">
        <f>+B11*'Pasture and Feed'!B20</f>
        <v>370</v>
      </c>
      <c r="C12" s="21">
        <f>+C11*'Pasture and Feed'!C20</f>
        <v>370</v>
      </c>
      <c r="D12" t="s">
        <v>210</v>
      </c>
    </row>
    <row r="13" spans="1:4" x14ac:dyDescent="0.35">
      <c r="A13" t="s">
        <v>177</v>
      </c>
      <c r="B13" s="5">
        <f>365*24</f>
        <v>8760</v>
      </c>
      <c r="C13" s="5">
        <f>365*24</f>
        <v>8760</v>
      </c>
    </row>
    <row r="14" spans="1:4" x14ac:dyDescent="0.35">
      <c r="A14" t="s">
        <v>44</v>
      </c>
      <c r="B14" s="8">
        <f>B12/B13</f>
        <v>4.2237442922374427E-2</v>
      </c>
      <c r="C14" s="8">
        <f>C12/C13</f>
        <v>4.2237442922374427E-2</v>
      </c>
    </row>
    <row r="15" spans="1:4" x14ac:dyDescent="0.35">
      <c r="A15" t="s">
        <v>178</v>
      </c>
      <c r="B15" s="7">
        <f>(B14*B10)/'Cattle and Markets'!B4</f>
        <v>1.8135702054794518</v>
      </c>
      <c r="C15" s="7">
        <f>(C14*C10)/'Cattle and Markets'!C4</f>
        <v>1.8135702054794518</v>
      </c>
    </row>
    <row r="16" spans="1:4" x14ac:dyDescent="0.35">
      <c r="A16" s="3" t="s">
        <v>45</v>
      </c>
      <c r="B16" s="6">
        <f>'Producer Set Up'!$B$20</f>
        <v>3.75</v>
      </c>
      <c r="C16" s="6">
        <f>'Producer Set Up'!$C$20</f>
        <v>3.75</v>
      </c>
    </row>
    <row r="17" spans="1:3" x14ac:dyDescent="0.35">
      <c r="A17" s="3" t="s">
        <v>179</v>
      </c>
      <c r="B17" s="6">
        <v>2</v>
      </c>
      <c r="C17" s="6">
        <v>2</v>
      </c>
    </row>
    <row r="18" spans="1:3" x14ac:dyDescent="0.35">
      <c r="A18" s="3" t="s">
        <v>93</v>
      </c>
      <c r="B18" s="6">
        <f>(B12*B16*B17)/'Cattle and Markets'!B4</f>
        <v>27.75</v>
      </c>
      <c r="C18" s="29">
        <f>(C12*C16*C17)/'Cattle and Markets'!C4</f>
        <v>27.75</v>
      </c>
    </row>
    <row r="19" spans="1:3" x14ac:dyDescent="0.35">
      <c r="A19" s="3" t="s">
        <v>46</v>
      </c>
      <c r="B19" s="8">
        <v>0.02</v>
      </c>
      <c r="C19" s="8">
        <v>0.02</v>
      </c>
    </row>
    <row r="20" spans="1:3" x14ac:dyDescent="0.35">
      <c r="A20" s="3" t="s">
        <v>47</v>
      </c>
      <c r="B20" s="7">
        <f>B19*B8*B14</f>
        <v>1.773972602739726</v>
      </c>
      <c r="C20" s="7">
        <f>C19*C8*C14</f>
        <v>1.773972602739726</v>
      </c>
    </row>
    <row r="21" spans="1:3" x14ac:dyDescent="0.35">
      <c r="A21" s="3" t="s">
        <v>94</v>
      </c>
      <c r="B21" s="47">
        <f>B20/'Cattle and Markets'!B4</f>
        <v>1.7739726027397259E-2</v>
      </c>
      <c r="C21" s="47">
        <f>C20/'Cattle and Markets'!C4</f>
        <v>1.7739726027397259E-2</v>
      </c>
    </row>
    <row r="22" spans="1:3" x14ac:dyDescent="0.35">
      <c r="B22" s="1"/>
      <c r="C22" s="1"/>
    </row>
    <row r="23" spans="1:3" x14ac:dyDescent="0.35">
      <c r="A23" s="11" t="s">
        <v>95</v>
      </c>
      <c r="B23" s="23">
        <f>B15+B18+B21</f>
        <v>29.581309931506848</v>
      </c>
      <c r="C23" s="23">
        <f>C15+C18+C21</f>
        <v>29.581309931506848</v>
      </c>
    </row>
    <row r="24" spans="1:3" x14ac:dyDescent="0.35">
      <c r="A24" s="68"/>
      <c r="B24" s="68"/>
    </row>
  </sheetData>
  <sheetProtection algorithmName="SHA-512" hashValue="zQQ/RoOxP04piexDPwux4N7i+6inpg8cm8gSq5ZsAcaDV2dsAEvUVDZyEC+wZflsl+RDz0kL8we0MsBwhmKPCg==" saltValue="QoSj62+V92Xo/la4G8eq0w==" spinCount="100000" sheet="1" objects="1" scenarios="1"/>
  <mergeCells count="2">
    <mergeCell ref="A24:B24"/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2E0D-CB20-4320-B416-DEF3A6223553}">
  <dimension ref="A1:D22"/>
  <sheetViews>
    <sheetView showGridLines="0" workbookViewId="0">
      <selection activeCell="D5" sqref="D5"/>
    </sheetView>
  </sheetViews>
  <sheetFormatPr defaultRowHeight="14.5" x14ac:dyDescent="0.35"/>
  <cols>
    <col min="1" max="1" width="38" bestFit="1" customWidth="1"/>
    <col min="2" max="2" width="15.453125" bestFit="1" customWidth="1"/>
  </cols>
  <sheetData>
    <row r="1" spans="1:4" x14ac:dyDescent="0.35">
      <c r="A1" s="66" t="s">
        <v>77</v>
      </c>
      <c r="B1" s="66"/>
      <c r="C1" s="66"/>
      <c r="D1" s="66"/>
    </row>
    <row r="3" spans="1:4" x14ac:dyDescent="0.35">
      <c r="A3" s="11" t="s">
        <v>71</v>
      </c>
      <c r="B3" s="11" t="s">
        <v>21</v>
      </c>
      <c r="C3" s="34" t="s">
        <v>151</v>
      </c>
      <c r="D3" s="35" t="s">
        <v>152</v>
      </c>
    </row>
    <row r="4" spans="1:4" x14ac:dyDescent="0.35">
      <c r="A4" s="13" t="s">
        <v>27</v>
      </c>
      <c r="B4" s="3"/>
      <c r="C4" s="6"/>
      <c r="D4" s="6"/>
    </row>
    <row r="5" spans="1:4" x14ac:dyDescent="0.35">
      <c r="A5" s="3" t="s">
        <v>33</v>
      </c>
      <c r="B5" s="3" t="s">
        <v>23</v>
      </c>
      <c r="C5" s="6">
        <v>2.2799999999999998</v>
      </c>
      <c r="D5" s="6">
        <v>2.2799999999999998</v>
      </c>
    </row>
    <row r="6" spans="1:4" x14ac:dyDescent="0.35">
      <c r="A6" s="3" t="s">
        <v>34</v>
      </c>
      <c r="B6" s="3" t="s">
        <v>24</v>
      </c>
      <c r="C6" s="6">
        <v>4.3499999999999996</v>
      </c>
      <c r="D6" s="6">
        <v>4.3499999999999996</v>
      </c>
    </row>
    <row r="7" spans="1:4" x14ac:dyDescent="0.35">
      <c r="A7" s="3" t="s">
        <v>35</v>
      </c>
      <c r="B7" s="3" t="s">
        <v>25</v>
      </c>
      <c r="C7" s="6">
        <v>1.1399999999999999</v>
      </c>
      <c r="D7" s="6">
        <v>1.1399999999999999</v>
      </c>
    </row>
    <row r="8" spans="1:4" x14ac:dyDescent="0.35">
      <c r="A8" s="3" t="s">
        <v>36</v>
      </c>
      <c r="B8" s="3" t="s">
        <v>26</v>
      </c>
      <c r="C8" s="6">
        <v>1.58</v>
      </c>
      <c r="D8" s="6">
        <v>1.58</v>
      </c>
    </row>
    <row r="9" spans="1:4" x14ac:dyDescent="0.35">
      <c r="A9" s="3" t="s">
        <v>37</v>
      </c>
      <c r="B9" s="3" t="s">
        <v>31</v>
      </c>
      <c r="C9" s="6">
        <v>0.84</v>
      </c>
      <c r="D9" s="6">
        <v>0.84</v>
      </c>
    </row>
    <row r="10" spans="1:4" x14ac:dyDescent="0.35">
      <c r="A10" s="3" t="s">
        <v>38</v>
      </c>
      <c r="B10" s="10"/>
      <c r="C10" s="6">
        <f>SUM(C5:C9)</f>
        <v>10.189999999999998</v>
      </c>
      <c r="D10" s="6">
        <f>SUM(D5:D9)</f>
        <v>10.189999999999998</v>
      </c>
    </row>
    <row r="11" spans="1:4" x14ac:dyDescent="0.35">
      <c r="A11" s="3"/>
      <c r="B11" s="10"/>
      <c r="C11" s="6"/>
      <c r="D11" s="6"/>
    </row>
    <row r="12" spans="1:4" x14ac:dyDescent="0.35">
      <c r="A12" s="14" t="s">
        <v>28</v>
      </c>
      <c r="B12" s="3"/>
      <c r="C12" s="1"/>
      <c r="D12" s="1"/>
    </row>
    <row r="13" spans="1:4" x14ac:dyDescent="0.35">
      <c r="A13" s="3" t="s">
        <v>33</v>
      </c>
      <c r="B13" s="3" t="s">
        <v>30</v>
      </c>
      <c r="C13" s="6">
        <f t="shared" ref="C13:D17" si="0">C5</f>
        <v>2.2799999999999998</v>
      </c>
      <c r="D13" s="6">
        <f t="shared" si="0"/>
        <v>2.2799999999999998</v>
      </c>
    </row>
    <row r="14" spans="1:4" x14ac:dyDescent="0.35">
      <c r="A14" s="3" t="s">
        <v>34</v>
      </c>
      <c r="B14" s="3" t="s">
        <v>24</v>
      </c>
      <c r="C14" s="6">
        <f t="shared" si="0"/>
        <v>4.3499999999999996</v>
      </c>
      <c r="D14" s="6">
        <f t="shared" si="0"/>
        <v>4.3499999999999996</v>
      </c>
    </row>
    <row r="15" spans="1:4" x14ac:dyDescent="0.35">
      <c r="A15" s="3" t="s">
        <v>35</v>
      </c>
      <c r="B15" s="3" t="s">
        <v>25</v>
      </c>
      <c r="C15" s="6">
        <f t="shared" si="0"/>
        <v>1.1399999999999999</v>
      </c>
      <c r="D15" s="6">
        <f t="shared" si="0"/>
        <v>1.1399999999999999</v>
      </c>
    </row>
    <row r="16" spans="1:4" x14ac:dyDescent="0.35">
      <c r="A16" s="3" t="s">
        <v>36</v>
      </c>
      <c r="B16" s="3" t="s">
        <v>26</v>
      </c>
      <c r="C16" s="6">
        <f t="shared" si="0"/>
        <v>1.58</v>
      </c>
      <c r="D16" s="6">
        <f t="shared" si="0"/>
        <v>1.58</v>
      </c>
    </row>
    <row r="17" spans="1:4" x14ac:dyDescent="0.35">
      <c r="A17" s="3" t="s">
        <v>37</v>
      </c>
      <c r="B17" s="3" t="s">
        <v>31</v>
      </c>
      <c r="C17" s="6">
        <f t="shared" si="0"/>
        <v>0.84</v>
      </c>
      <c r="D17" s="6">
        <f t="shared" si="0"/>
        <v>0.84</v>
      </c>
    </row>
    <row r="18" spans="1:4" x14ac:dyDescent="0.35">
      <c r="A18" s="3" t="s">
        <v>58</v>
      </c>
      <c r="B18" s="3"/>
      <c r="C18" s="6">
        <f>SUM(C13:C17)</f>
        <v>10.189999999999998</v>
      </c>
      <c r="D18" s="6">
        <f>SUM(D13:D17)</f>
        <v>10.189999999999998</v>
      </c>
    </row>
    <row r="19" spans="1:4" x14ac:dyDescent="0.35">
      <c r="A19" s="3" t="s">
        <v>57</v>
      </c>
      <c r="B19" s="3"/>
      <c r="C19" s="6">
        <f>SUM(C13:C17)/Breeding!B12</f>
        <v>0.33966666666666662</v>
      </c>
      <c r="D19" s="6">
        <f>SUM(D13:D17)/Breeding!C12</f>
        <v>0.50949999999999984</v>
      </c>
    </row>
    <row r="20" spans="1:4" x14ac:dyDescent="0.35">
      <c r="A20" s="3"/>
      <c r="B20" s="3"/>
      <c r="C20" s="1"/>
      <c r="D20" s="1"/>
    </row>
    <row r="21" spans="1:4" x14ac:dyDescent="0.35">
      <c r="A21" s="11" t="s">
        <v>29</v>
      </c>
      <c r="B21" s="11"/>
      <c r="C21" s="23">
        <f>C10+C19</f>
        <v>10.529666666666664</v>
      </c>
      <c r="D21" s="23">
        <f>D10+D19</f>
        <v>10.699499999999997</v>
      </c>
    </row>
    <row r="22" spans="1:4" x14ac:dyDescent="0.35">
      <c r="A22" s="68"/>
      <c r="B22" s="68"/>
      <c r="C22" s="3"/>
    </row>
  </sheetData>
  <sheetProtection algorithmName="SHA-512" hashValue="tBEh268A267bq8wyneoNoW92hIgVUJ75TJr/4a9y5uOjp0FRKeDl6T4YU6ycLsp+bLoymMnBR2/qqA15GfUi5A==" saltValue="QvscdJace2uCUbNxFItfGw==" spinCount="100000" sheet="1" objects="1" scenarios="1"/>
  <mergeCells count="2">
    <mergeCell ref="A22:B22"/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5E96-5BAE-4B44-9F6C-4FD328175B63}">
  <dimension ref="A1:H31"/>
  <sheetViews>
    <sheetView showGridLines="0" workbookViewId="0">
      <selection activeCell="D31" sqref="D31"/>
    </sheetView>
  </sheetViews>
  <sheetFormatPr defaultRowHeight="14.5" x14ac:dyDescent="0.35"/>
  <cols>
    <col min="1" max="1" width="54.26953125" bestFit="1" customWidth="1"/>
    <col min="2" max="3" width="9.1796875" customWidth="1"/>
  </cols>
  <sheetData>
    <row r="1" spans="1:8" x14ac:dyDescent="0.35">
      <c r="A1" s="66" t="s">
        <v>76</v>
      </c>
      <c r="B1" s="66"/>
      <c r="C1" s="66"/>
    </row>
    <row r="3" spans="1:8" x14ac:dyDescent="0.35">
      <c r="A3" s="17" t="s">
        <v>71</v>
      </c>
      <c r="B3" s="34" t="s">
        <v>151</v>
      </c>
      <c r="C3" s="35" t="s">
        <v>152</v>
      </c>
      <c r="D3" s="2" t="s">
        <v>110</v>
      </c>
    </row>
    <row r="4" spans="1:8" x14ac:dyDescent="0.35">
      <c r="A4" t="s">
        <v>116</v>
      </c>
      <c r="B4" s="21" t="str">
        <f>'Producer Set Up'!B22</f>
        <v>y</v>
      </c>
      <c r="C4" s="21" t="str">
        <f>'Producer Set Up'!C22</f>
        <v>n</v>
      </c>
      <c r="H4" t="s">
        <v>189</v>
      </c>
    </row>
    <row r="5" spans="1:8" x14ac:dyDescent="0.35">
      <c r="A5" s="3" t="s">
        <v>48</v>
      </c>
      <c r="B5" s="1"/>
      <c r="C5" s="1"/>
    </row>
    <row r="6" spans="1:8" x14ac:dyDescent="0.35">
      <c r="A6" s="3" t="s">
        <v>112</v>
      </c>
      <c r="B6" s="6">
        <v>15.6</v>
      </c>
      <c r="C6" s="6">
        <v>15.6</v>
      </c>
    </row>
    <row r="7" spans="1:8" x14ac:dyDescent="0.35">
      <c r="A7" s="3" t="s">
        <v>113</v>
      </c>
      <c r="B7" s="6">
        <v>2.58</v>
      </c>
      <c r="C7" s="6">
        <v>2.58</v>
      </c>
    </row>
    <row r="8" spans="1:8" x14ac:dyDescent="0.35">
      <c r="A8" s="3" t="s">
        <v>114</v>
      </c>
      <c r="B8" s="6">
        <v>1.1200000000000001</v>
      </c>
      <c r="C8" s="6">
        <v>1.1200000000000001</v>
      </c>
    </row>
    <row r="9" spans="1:8" x14ac:dyDescent="0.35">
      <c r="A9" s="3" t="s">
        <v>117</v>
      </c>
      <c r="B9" s="6">
        <v>25</v>
      </c>
      <c r="C9" s="6">
        <v>25</v>
      </c>
    </row>
    <row r="10" spans="1:8" x14ac:dyDescent="0.35">
      <c r="A10" s="3" t="s">
        <v>115</v>
      </c>
      <c r="B10" s="6">
        <v>15</v>
      </c>
      <c r="C10" s="6">
        <v>15</v>
      </c>
    </row>
    <row r="11" spans="1:8" x14ac:dyDescent="0.35">
      <c r="B11" s="6"/>
      <c r="C11" s="6"/>
    </row>
    <row r="12" spans="1:8" x14ac:dyDescent="0.35">
      <c r="A12" s="3" t="s">
        <v>193</v>
      </c>
      <c r="B12" s="1">
        <f>IF(B4="y",30,20)</f>
        <v>30</v>
      </c>
      <c r="C12" s="1">
        <f>IF(C4="y",30,20)</f>
        <v>20</v>
      </c>
    </row>
    <row r="13" spans="1:8" x14ac:dyDescent="0.35">
      <c r="A13" s="3" t="s">
        <v>65</v>
      </c>
      <c r="B13" s="36">
        <f>ROUND('Cattle and Markets'!B4/B12,0)</f>
        <v>3</v>
      </c>
      <c r="C13" s="36">
        <f>ROUND('Cattle and Markets'!C4/C12,0)</f>
        <v>5</v>
      </c>
    </row>
    <row r="14" spans="1:8" x14ac:dyDescent="0.35">
      <c r="A14" s="3" t="s">
        <v>188</v>
      </c>
      <c r="B14" s="28">
        <f>IF('Producer Set Up'!B18&gt;=1,'Producer Set Up'!B18,IF('Producer Set Up'!B18&lt;1,1))</f>
        <v>1</v>
      </c>
      <c r="C14" s="28">
        <f>IF('Producer Set Up'!C18&gt;=1,'Producer Set Up'!C18,IF('Producer Set Up'!C18&lt;1,1))</f>
        <v>1</v>
      </c>
    </row>
    <row r="15" spans="1:8" x14ac:dyDescent="0.35">
      <c r="A15" s="3" t="s">
        <v>17</v>
      </c>
      <c r="B15" s="5">
        <f>'Producer Set Up'!B17</f>
        <v>6000</v>
      </c>
      <c r="C15" s="5">
        <f>'Producer Set Up'!C17</f>
        <v>6000</v>
      </c>
    </row>
    <row r="16" spans="1:8" x14ac:dyDescent="0.35">
      <c r="A16" s="3" t="s">
        <v>190</v>
      </c>
      <c r="B16" s="6">
        <v>1.55</v>
      </c>
      <c r="C16" s="6">
        <v>1.55</v>
      </c>
      <c r="D16" t="s">
        <v>195</v>
      </c>
    </row>
    <row r="17" spans="1:4" x14ac:dyDescent="0.35">
      <c r="A17" s="3" t="s">
        <v>191</v>
      </c>
      <c r="B17" s="5">
        <v>2200</v>
      </c>
      <c r="C17" s="5">
        <v>2200</v>
      </c>
    </row>
    <row r="18" spans="1:4" x14ac:dyDescent="0.35">
      <c r="A18" s="3" t="s">
        <v>109</v>
      </c>
      <c r="B18" s="5">
        <f>IF(B14&lt;=1,(B15-(0.1*B15)),IF(B14&gt;1,B16*B17))</f>
        <v>5400</v>
      </c>
      <c r="C18" s="5">
        <f>IF(C14&lt;=1,(C15-(0.1*C15)),IF(C14&gt;1,C16*C17))</f>
        <v>5400</v>
      </c>
    </row>
    <row r="19" spans="1:4" x14ac:dyDescent="0.35">
      <c r="A19" s="3" t="s">
        <v>185</v>
      </c>
      <c r="B19" s="7">
        <f>IF(B15-B18=0,0,IF(B15-B18&gt;0,(B15-B18)/B14))</f>
        <v>600</v>
      </c>
      <c r="C19" s="7">
        <f>IF(C15-C18=0,0,IF(C15-C18&gt;0,(C15-C18)/C14))</f>
        <v>600</v>
      </c>
      <c r="D19" t="s">
        <v>194</v>
      </c>
    </row>
    <row r="20" spans="1:4" x14ac:dyDescent="0.35">
      <c r="A20" s="3" t="s">
        <v>192</v>
      </c>
      <c r="B20" s="7">
        <v>120</v>
      </c>
      <c r="C20" s="7">
        <v>120</v>
      </c>
    </row>
    <row r="21" spans="1:4" x14ac:dyDescent="0.35">
      <c r="A21" s="3" t="s">
        <v>184</v>
      </c>
      <c r="B21" s="7">
        <f>IF(B19=0,0,IF(B19&gt;0,B19*(B20/365)))</f>
        <v>197.26027397260273</v>
      </c>
      <c r="C21" s="7">
        <f>IF(C19=0,0,IF(C19&gt;0,C19*(C20/365)))</f>
        <v>197.26027397260273</v>
      </c>
    </row>
    <row r="22" spans="1:4" x14ac:dyDescent="0.35">
      <c r="A22" s="3" t="s">
        <v>186</v>
      </c>
      <c r="B22" s="7">
        <f>IF(B19=0,0,IF(B19&gt;0,((Breeding!B15+Breeding!B18)/2)*('Cattle and Markets'!B29/365)*B20))</f>
        <v>140.54794520547946</v>
      </c>
      <c r="C22" s="7">
        <f>IF(C19=0,0,IF(C19&gt;0,((Breeding!C15+Breeding!C18)/2)*('Cattle and Markets'!C29/365)*C20))</f>
        <v>140.54794520547946</v>
      </c>
    </row>
    <row r="23" spans="1:4" x14ac:dyDescent="0.35">
      <c r="A23" s="3" t="s">
        <v>187</v>
      </c>
      <c r="B23" s="7">
        <f>(B21+B22)/B12</f>
        <v>11.260273972602739</v>
      </c>
      <c r="C23" s="7">
        <f>(C21+C22)/C12</f>
        <v>16.890410958904109</v>
      </c>
    </row>
    <row r="24" spans="1:4" x14ac:dyDescent="0.35">
      <c r="A24" s="3"/>
      <c r="B24" s="8"/>
      <c r="C24" s="8"/>
    </row>
    <row r="25" spans="1:4" x14ac:dyDescent="0.35">
      <c r="A25" s="3" t="s">
        <v>96</v>
      </c>
      <c r="B25" s="6">
        <v>70</v>
      </c>
      <c r="C25" s="6">
        <v>70</v>
      </c>
    </row>
    <row r="26" spans="1:4" x14ac:dyDescent="0.35">
      <c r="A26" s="3" t="s">
        <v>18</v>
      </c>
      <c r="B26" s="7">
        <f>B25/B12</f>
        <v>2.3333333333333335</v>
      </c>
      <c r="C26" s="7">
        <f>C25/C12</f>
        <v>3.5</v>
      </c>
    </row>
    <row r="27" spans="1:4" x14ac:dyDescent="0.35">
      <c r="A27" s="3"/>
      <c r="B27" s="7"/>
      <c r="C27" s="7"/>
    </row>
    <row r="28" spans="1:4" x14ac:dyDescent="0.35">
      <c r="A28" s="3" t="s">
        <v>67</v>
      </c>
      <c r="B28" s="7">
        <v>20</v>
      </c>
      <c r="C28" s="7">
        <v>20</v>
      </c>
    </row>
    <row r="29" spans="1:4" x14ac:dyDescent="0.35">
      <c r="A29" s="3"/>
      <c r="B29" s="7"/>
      <c r="C29" s="7"/>
    </row>
    <row r="30" spans="1:4" x14ac:dyDescent="0.35">
      <c r="A30" s="11" t="s">
        <v>22</v>
      </c>
      <c r="B30" s="23">
        <f>IF(B4="y",SUM(B6:B10,B23,B28),IF(B4="n",SUM(B23,B26,B28)))</f>
        <v>90.560273972602744</v>
      </c>
      <c r="C30" s="23">
        <f>IF(C4="y",SUM(C6:C10,C23,C28),IF(C4="n",SUM(C23,C26,C28)))</f>
        <v>40.390410958904113</v>
      </c>
      <c r="D30" s="49">
        <f>B30-C30</f>
        <v>50.169863013698631</v>
      </c>
    </row>
    <row r="31" spans="1:4" x14ac:dyDescent="0.35">
      <c r="A31" s="68"/>
      <c r="B31" s="68"/>
      <c r="C31" s="3"/>
    </row>
  </sheetData>
  <sheetProtection algorithmName="SHA-512" hashValue="rXg0gSxIbu8PhvLBv6zW3y96GUiStD7HkeivkskuOIS8RyM8OgZyTY2Oj4iwhN+4ZiYwRt74KBg4L38IxJ1M8g==" saltValue="O18Kz5ejIpHP+uKUimThnw==" spinCount="100000" sheet="1" objects="1" scenarios="1"/>
  <mergeCells count="2">
    <mergeCell ref="A31:B31"/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738E-B438-4AE9-86B5-DC40868D292A}">
  <dimension ref="A1:D28"/>
  <sheetViews>
    <sheetView showGridLines="0" zoomScale="90" zoomScaleNormal="90" workbookViewId="0">
      <selection activeCell="B20" sqref="B20"/>
    </sheetView>
  </sheetViews>
  <sheetFormatPr defaultRowHeight="14.5" x14ac:dyDescent="0.35"/>
  <cols>
    <col min="1" max="1" width="51.26953125" customWidth="1"/>
    <col min="2" max="2" width="8.26953125" bestFit="1" customWidth="1"/>
    <col min="3" max="3" width="8.54296875" bestFit="1" customWidth="1"/>
  </cols>
  <sheetData>
    <row r="1" spans="1:4" x14ac:dyDescent="0.35">
      <c r="A1" s="66" t="s">
        <v>143</v>
      </c>
      <c r="B1" s="66"/>
      <c r="C1" s="66"/>
    </row>
    <row r="3" spans="1:4" x14ac:dyDescent="0.35">
      <c r="A3" s="17" t="s">
        <v>71</v>
      </c>
      <c r="B3" s="34" t="s">
        <v>151</v>
      </c>
      <c r="C3" s="35" t="s">
        <v>152</v>
      </c>
    </row>
    <row r="4" spans="1:4" x14ac:dyDescent="0.35">
      <c r="A4" s="3" t="s">
        <v>150</v>
      </c>
      <c r="B4" s="5">
        <f>2*'Producer Set Up'!$B$19</f>
        <v>60</v>
      </c>
      <c r="C4" s="5">
        <f>2*'Producer Set Up'!$C$19</f>
        <v>60</v>
      </c>
    </row>
    <row r="5" spans="1:4" x14ac:dyDescent="0.35">
      <c r="A5" s="3" t="s">
        <v>121</v>
      </c>
      <c r="B5" s="6">
        <f>'Producer Set Up'!$B$20</f>
        <v>3.75</v>
      </c>
      <c r="C5" s="6">
        <f>'Producer Set Up'!$C$20</f>
        <v>3.75</v>
      </c>
    </row>
    <row r="6" spans="1:4" x14ac:dyDescent="0.35">
      <c r="A6" s="3" t="s">
        <v>135</v>
      </c>
      <c r="B6" s="5">
        <v>58000</v>
      </c>
      <c r="C6" s="5">
        <v>58000</v>
      </c>
    </row>
    <row r="7" spans="1:4" x14ac:dyDescent="0.35">
      <c r="A7" s="3" t="s">
        <v>97</v>
      </c>
      <c r="B7" s="28">
        <f>B6/('Cattle and Markets'!B7*1.3)</f>
        <v>59.487179487179489</v>
      </c>
      <c r="C7" s="28">
        <f>C6/('Cattle and Markets'!C7*1.3)</f>
        <v>59.487179487179489</v>
      </c>
      <c r="D7" t="s">
        <v>182</v>
      </c>
    </row>
    <row r="8" spans="1:4" x14ac:dyDescent="0.35">
      <c r="A8" s="3" t="s">
        <v>19</v>
      </c>
      <c r="B8" s="28">
        <f>IF('Cattle and Markets'!B12=0,0,B6/('Cattle and Markets'!B10*1.3))</f>
        <v>40.55944055944056</v>
      </c>
      <c r="C8" s="28">
        <f>IF('Cattle and Markets'!C12=0,0,C6/('Cattle and Markets'!C10*1.3))</f>
        <v>40.55944055944056</v>
      </c>
    </row>
    <row r="9" spans="1:4" x14ac:dyDescent="0.35">
      <c r="A9" s="3" t="s">
        <v>20</v>
      </c>
      <c r="B9" s="28">
        <f>IF('Cattle and Markets'!B17=0,0,B6/('Cattle and Markets'!B15*1.3))</f>
        <v>44.615384615384613</v>
      </c>
      <c r="C9" s="28">
        <f>IF('Cattle and Markets'!C17=0,0,C6/('Cattle and Markets'!C15*1.3))</f>
        <v>44.615384615384613</v>
      </c>
    </row>
    <row r="10" spans="1:4" x14ac:dyDescent="0.35">
      <c r="A10" s="3" t="s">
        <v>136</v>
      </c>
      <c r="B10" s="28">
        <f>IF('Cattle and Markets'!B23=0,0,B6/('Cattle and Markets'!B21*1.3))</f>
        <v>49.572649572649574</v>
      </c>
      <c r="C10" s="28">
        <f>IF('Cattle and Markets'!C23=0,0,C6/('Cattle and Markets'!C21*1.3))</f>
        <v>49.572649572649574</v>
      </c>
    </row>
    <row r="11" spans="1:4" x14ac:dyDescent="0.35">
      <c r="A11" s="3" t="s">
        <v>98</v>
      </c>
      <c r="B11" s="5">
        <f>'Cattle and Markets'!B4*('Cattle and Markets'!B7*1.3)</f>
        <v>97500</v>
      </c>
      <c r="C11" s="5">
        <f>'Cattle and Markets'!C4*'Cattle and Markets'!C7*1.3</f>
        <v>97500</v>
      </c>
      <c r="D11" t="s">
        <v>182</v>
      </c>
    </row>
    <row r="12" spans="1:4" x14ac:dyDescent="0.35">
      <c r="A12" s="3" t="s">
        <v>99</v>
      </c>
      <c r="B12" s="5">
        <f>'Cattle and Markets'!B12*'Cattle and Markets'!B10*1.3</f>
        <v>38610</v>
      </c>
      <c r="C12" s="5">
        <f>'Cattle and Markets'!C12*'Cattle and Markets'!C10*1.3</f>
        <v>38610</v>
      </c>
    </row>
    <row r="13" spans="1:4" x14ac:dyDescent="0.35">
      <c r="A13" s="3" t="s">
        <v>100</v>
      </c>
      <c r="B13" s="5">
        <f>'Cattle and Markets'!B17*'Cattle and Markets'!B15*1.3</f>
        <v>81900</v>
      </c>
      <c r="C13" s="5">
        <f>'Cattle and Markets'!C17*'Cattle and Markets'!C15*1.3</f>
        <v>81900</v>
      </c>
    </row>
    <row r="14" spans="1:4" x14ac:dyDescent="0.35">
      <c r="A14" s="3" t="s">
        <v>101</v>
      </c>
      <c r="B14" s="5">
        <f>'Cattle and Markets'!B23*'Cattle and Markets'!B21*1.3</f>
        <v>11700</v>
      </c>
      <c r="C14" s="5">
        <f>'Cattle and Markets'!C23*'Cattle and Markets'!C21*1.3</f>
        <v>11700</v>
      </c>
    </row>
    <row r="15" spans="1:4" x14ac:dyDescent="0.35">
      <c r="A15" s="3" t="s">
        <v>102</v>
      </c>
      <c r="B15" s="5">
        <f>SUM(B12:B14)</f>
        <v>132210</v>
      </c>
      <c r="C15" s="5">
        <f>SUM(C12:C14)</f>
        <v>132210</v>
      </c>
    </row>
    <row r="16" spans="1:4" x14ac:dyDescent="0.35">
      <c r="A16" s="3" t="s">
        <v>138</v>
      </c>
      <c r="B16" s="7">
        <f>B11/B6</f>
        <v>1.6810344827586208</v>
      </c>
      <c r="C16" s="7">
        <f>C11/C6</f>
        <v>1.6810344827586208</v>
      </c>
    </row>
    <row r="17" spans="1:4" x14ac:dyDescent="0.35">
      <c r="A17" s="3" t="s">
        <v>137</v>
      </c>
      <c r="B17" s="7">
        <f>B15/B6</f>
        <v>2.2794827586206896</v>
      </c>
      <c r="C17" s="7">
        <f>C15/C6</f>
        <v>2.2794827586206896</v>
      </c>
    </row>
    <row r="18" spans="1:4" x14ac:dyDescent="0.35">
      <c r="A18" s="3" t="s">
        <v>66</v>
      </c>
      <c r="B18" s="7">
        <f>B4*B5*B16</f>
        <v>378.23275862068965</v>
      </c>
      <c r="C18" s="7">
        <f>C4*C5*C16</f>
        <v>378.23275862068965</v>
      </c>
    </row>
    <row r="19" spans="1:4" x14ac:dyDescent="0.35">
      <c r="A19" s="3" t="s">
        <v>139</v>
      </c>
      <c r="B19" s="7">
        <f>B4*B5*B17</f>
        <v>512.88362068965512</v>
      </c>
      <c r="C19" s="7">
        <f>C4*C5*C17</f>
        <v>512.88362068965512</v>
      </c>
    </row>
    <row r="20" spans="1:4" x14ac:dyDescent="0.35">
      <c r="A20" s="3" t="s">
        <v>140</v>
      </c>
      <c r="B20" s="7">
        <f>B18/'Cattle and Markets'!B4</f>
        <v>3.7823275862068964</v>
      </c>
      <c r="C20" s="7">
        <f>C18/'Cattle and Markets'!C4</f>
        <v>3.7823275862068964</v>
      </c>
    </row>
    <row r="21" spans="1:4" x14ac:dyDescent="0.35">
      <c r="A21" s="3" t="s">
        <v>141</v>
      </c>
      <c r="B21" s="7">
        <f>B19/'Cattle and Markets'!B4</f>
        <v>5.1288362068965512</v>
      </c>
      <c r="C21" s="7">
        <f>C19/'Cattle and Markets'!C4</f>
        <v>5.1288362068965512</v>
      </c>
    </row>
    <row r="22" spans="1:4" x14ac:dyDescent="0.35">
      <c r="A22" s="3" t="s">
        <v>142</v>
      </c>
      <c r="B22" s="7">
        <f>B5*0.67</f>
        <v>2.5125000000000002</v>
      </c>
      <c r="C22" s="7">
        <f>C5*0.67</f>
        <v>2.5125000000000002</v>
      </c>
      <c r="D22" t="s">
        <v>173</v>
      </c>
    </row>
    <row r="23" spans="1:4" x14ac:dyDescent="0.35">
      <c r="A23" s="3" t="s">
        <v>120</v>
      </c>
      <c r="B23" s="7">
        <v>2</v>
      </c>
      <c r="C23" s="7">
        <f>B23</f>
        <v>2</v>
      </c>
    </row>
    <row r="24" spans="1:4" x14ac:dyDescent="0.35">
      <c r="A24" s="3" t="s">
        <v>118</v>
      </c>
      <c r="B24" s="7">
        <f>B4*B22*B23</f>
        <v>301.5</v>
      </c>
      <c r="C24" s="7">
        <f>C4*C22*C23</f>
        <v>301.5</v>
      </c>
    </row>
    <row r="25" spans="1:4" x14ac:dyDescent="0.35">
      <c r="A25" s="3" t="s">
        <v>119</v>
      </c>
      <c r="B25" s="7">
        <f>B24/'Cattle and Markets'!B4</f>
        <v>3.0150000000000001</v>
      </c>
      <c r="C25" s="7">
        <f>C24/'Cattle and Markets'!C4</f>
        <v>3.0150000000000001</v>
      </c>
    </row>
    <row r="26" spans="1:4" x14ac:dyDescent="0.35">
      <c r="A26" s="3"/>
      <c r="B26" s="1"/>
      <c r="C26" s="1"/>
    </row>
    <row r="27" spans="1:4" x14ac:dyDescent="0.35">
      <c r="A27" s="11" t="s">
        <v>68</v>
      </c>
      <c r="B27" s="24">
        <f>B20+B21+B25</f>
        <v>11.926163793103449</v>
      </c>
      <c r="C27" s="24">
        <f>C20+C21+C25</f>
        <v>11.926163793103449</v>
      </c>
    </row>
    <row r="28" spans="1:4" x14ac:dyDescent="0.35">
      <c r="A28" s="68"/>
      <c r="B28" s="68"/>
      <c r="C28" s="3"/>
    </row>
  </sheetData>
  <sheetProtection algorithmName="SHA-512" hashValue="AF7uk3J2fGYQV0/0bX/lKFXfDnK7D2KwIH+GBTVajUBJmnWIohxYLYU/fOJ+TCMMj1DAr7CRXyUKggOtwYYBhg==" saltValue="cr13NwlzqA6mI352Q7kOuQ==" spinCount="100000" sheet="1" objects="1" scenarios="1"/>
  <mergeCells count="2">
    <mergeCell ref="A28:B28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7140-D857-4D07-9E4A-C7E4C56C7D96}">
  <dimension ref="A1:C17"/>
  <sheetViews>
    <sheetView showGridLines="0" workbookViewId="0">
      <selection activeCell="F19" sqref="F19"/>
    </sheetView>
  </sheetViews>
  <sheetFormatPr defaultRowHeight="14.5" x14ac:dyDescent="0.35"/>
  <cols>
    <col min="1" max="1" width="40.81640625" customWidth="1"/>
  </cols>
  <sheetData>
    <row r="1" spans="1:3" x14ac:dyDescent="0.35">
      <c r="A1" s="66" t="s">
        <v>75</v>
      </c>
      <c r="B1" s="66"/>
      <c r="C1" s="66"/>
    </row>
    <row r="3" spans="1:3" x14ac:dyDescent="0.35">
      <c r="A3" s="11" t="s">
        <v>71</v>
      </c>
      <c r="B3" s="34" t="s">
        <v>151</v>
      </c>
      <c r="C3" s="35" t="s">
        <v>152</v>
      </c>
    </row>
    <row r="4" spans="1:3" x14ac:dyDescent="0.35">
      <c r="A4" t="s">
        <v>32</v>
      </c>
      <c r="B4" s="8">
        <v>0.03</v>
      </c>
      <c r="C4" s="8">
        <v>0.03</v>
      </c>
    </row>
    <row r="5" spans="1:3" x14ac:dyDescent="0.35">
      <c r="A5" t="s">
        <v>103</v>
      </c>
      <c r="B5" s="7">
        <f>B4*'Enterprise Budget'!B8</f>
        <v>124.065</v>
      </c>
      <c r="C5" s="7">
        <f>B5</f>
        <v>124.065</v>
      </c>
    </row>
    <row r="6" spans="1:3" x14ac:dyDescent="0.35">
      <c r="A6" t="s">
        <v>104</v>
      </c>
      <c r="B6" s="7">
        <v>2</v>
      </c>
      <c r="C6" s="7">
        <v>2</v>
      </c>
    </row>
    <row r="7" spans="1:3" x14ac:dyDescent="0.35">
      <c r="A7" t="s">
        <v>105</v>
      </c>
      <c r="B7" s="7">
        <v>2</v>
      </c>
      <c r="C7" s="7">
        <v>2</v>
      </c>
    </row>
    <row r="8" spans="1:3" x14ac:dyDescent="0.35">
      <c r="A8" t="s">
        <v>106</v>
      </c>
      <c r="B8" s="1">
        <v>0.85</v>
      </c>
      <c r="C8" s="1">
        <v>0.85</v>
      </c>
    </row>
    <row r="9" spans="1:3" x14ac:dyDescent="0.35">
      <c r="A9" s="1"/>
      <c r="B9" s="1"/>
      <c r="C9" s="1"/>
    </row>
    <row r="10" spans="1:3" x14ac:dyDescent="0.35">
      <c r="A10" t="s">
        <v>122</v>
      </c>
      <c r="B10" s="1">
        <f>B4*Breeding!B18</f>
        <v>162</v>
      </c>
      <c r="C10" s="1">
        <f>C4*Breeding!C18</f>
        <v>162</v>
      </c>
    </row>
    <row r="11" spans="1:3" x14ac:dyDescent="0.35">
      <c r="A11" t="s">
        <v>123</v>
      </c>
      <c r="B11" s="7">
        <f t="shared" ref="B11:C13" si="0">B6</f>
        <v>2</v>
      </c>
      <c r="C11" s="7">
        <f t="shared" si="0"/>
        <v>2</v>
      </c>
    </row>
    <row r="12" spans="1:3" x14ac:dyDescent="0.35">
      <c r="A12" t="s">
        <v>124</v>
      </c>
      <c r="B12" s="7">
        <f t="shared" si="0"/>
        <v>2</v>
      </c>
      <c r="C12" s="7">
        <f t="shared" si="0"/>
        <v>2</v>
      </c>
    </row>
    <row r="13" spans="1:3" x14ac:dyDescent="0.35">
      <c r="A13" s="3" t="s">
        <v>125</v>
      </c>
      <c r="B13" s="1">
        <f t="shared" si="0"/>
        <v>0.85</v>
      </c>
      <c r="C13" s="1">
        <f t="shared" si="0"/>
        <v>0.85</v>
      </c>
    </row>
    <row r="14" spans="1:3" x14ac:dyDescent="0.35">
      <c r="A14" s="3" t="s">
        <v>126</v>
      </c>
      <c r="B14" s="1">
        <f>Breeding!B13</f>
        <v>3</v>
      </c>
      <c r="C14" s="1">
        <f>Breeding!C13</f>
        <v>5</v>
      </c>
    </row>
    <row r="15" spans="1:3" x14ac:dyDescent="0.35">
      <c r="A15" s="1"/>
      <c r="B15" s="1"/>
      <c r="C15" s="1"/>
    </row>
    <row r="16" spans="1:3" x14ac:dyDescent="0.35">
      <c r="A16" s="17" t="s">
        <v>70</v>
      </c>
      <c r="B16" s="24" cm="1">
        <f t="array" ref="B16">SUM(B5:B8)+SUM(B10:B13*B14)/'Cattle and Markets'!B4</f>
        <v>133.9205</v>
      </c>
      <c r="C16" s="24" cm="1">
        <f t="array" ref="C16">SUM(C5:C8)+SUM(C10:C13*C14)/'Cattle and Markets'!C4</f>
        <v>137.25749999999999</v>
      </c>
    </row>
    <row r="17" spans="1:2" x14ac:dyDescent="0.35">
      <c r="A17" s="68"/>
      <c r="B17" s="68"/>
    </row>
  </sheetData>
  <sheetProtection algorithmName="SHA-512" hashValue="Rdmd5hMWMgqBXfepkqkn3X4KXn1lY2YHEg8NF1zJJCATPrJ4ZuOVbtU2ugyPOFsRfqjdG5NvOKCkix+Ep4Fu7g==" saltValue="XijeiW5ysbE9on/lBUN4Aw==" spinCount="100000" sheet="1" objects="1" scenarios="1"/>
  <mergeCells count="2">
    <mergeCell ref="A17:B17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Producer Set Up</vt:lpstr>
      <vt:lpstr>Enterprise Budget</vt:lpstr>
      <vt:lpstr>Cattle and Markets</vt:lpstr>
      <vt:lpstr>Pasture and Feed</vt:lpstr>
      <vt:lpstr>Tractor and Fuel</vt:lpstr>
      <vt:lpstr>Vet and Health</vt:lpstr>
      <vt:lpstr>Breeding</vt:lpstr>
      <vt:lpstr>Transportation</vt:lpstr>
      <vt:lpstr>Marketing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Biermacher, Jon Todd</dc:creator>
  <cp:lastModifiedBy>Biermacher, Jon Todd</cp:lastModifiedBy>
  <cp:lastPrinted>2026-02-03T19:33:41Z</cp:lastPrinted>
  <dcterms:created xsi:type="dcterms:W3CDTF">2025-03-06T20:28:19Z</dcterms:created>
  <dcterms:modified xsi:type="dcterms:W3CDTF">2026-08-03T18:05:29Z</dcterms:modified>
</cp:coreProperties>
</file>