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heep LMIC\"/>
    </mc:Choice>
  </mc:AlternateContent>
  <xr:revisionPtr revIDLastSave="0" documentId="13_ncr:1_{52517A74-6287-4833-BB69-3EA82C709497}" xr6:coauthVersionLast="47" xr6:coauthVersionMax="47" xr10:uidLastSave="{00000000-0000-0000-0000-000000000000}"/>
  <bookViews>
    <workbookView xWindow="14700" yWindow="0" windowWidth="27060" windowHeight="13770" xr2:uid="{497AFFAA-305E-4024-96DC-8FC66185035A}"/>
  </bookViews>
  <sheets>
    <sheet name="Producer Set Up" sheetId="17" r:id="rId1"/>
    <sheet name="Detailed Budget" sheetId="1" r:id="rId2"/>
    <sheet name="Revenue" sheetId="3" r:id="rId3"/>
    <sheet name="Pasture&amp;Feed" sheetId="4" r:id="rId4"/>
    <sheet name="Vet_Med" sheetId="7" r:id="rId5"/>
    <sheet name="Breeding" sheetId="8" r:id="rId6"/>
    <sheet name="Market&amp;Haul" sheetId="9" r:id="rId7"/>
    <sheet name="Shearing" sheetId="11" r:id="rId8"/>
    <sheet name="Labor" sheetId="12" r:id="rId9"/>
    <sheet name="CRC&amp;FLR" sheetId="10" r:id="rId10"/>
    <sheet name="Uti&amp;Tax&amp;Ins" sheetId="15" r:id="rId11"/>
    <sheet name="Pred Contrl" sheetId="14" r:id="rId12"/>
    <sheet name="Interest" sheetId="13" r:id="rId13"/>
  </sheets>
  <definedNames>
    <definedName name="_Regression_Out" hidden="1">#REF!</definedName>
    <definedName name="Annual">OFFSET(#REF!,0,0,COUNTA(#REF!)+8,COUNTA(#REF!)+8)</definedName>
    <definedName name="DBsrc">OFFSET(#REF!,0,0,COUNTA(#REF!)+7,17)</definedName>
    <definedName name="MARSIndex">OFFSET(#REF!,0,0,COUNTA(#REF!)-2,9)</definedName>
    <definedName name="Monthly">OFFSET(#REF!,0,0,COUNTA(#REF!)+6,COUNTA(#REF!)+8)</definedName>
    <definedName name="Quarterly">OFFSET(#REF!,0,0,COUNTA(#REF!)+6,COUNTA(#REF!)+6)</definedName>
    <definedName name="ShtIndex">OFFSET(#REF!,0,0,COUNTA(#REF!)-3,4)</definedName>
    <definedName name="tbl">OFFSET(#REF!, 0, 0, COUNTA(#REF!)-1, 4)</definedName>
    <definedName name="tblBrdHd">OFFSET(#REF!,0,0,COUNTA(#REF!) + 1,4)</definedName>
    <definedName name="tblBrdHd12">OFFSET(#REF!,0,0,COUNTA(#REF!) + 1,4)</definedName>
    <definedName name="tblBrdHd24">OFFSET(#REF!,0,0,COUNTA(#REF!) + 1,5)</definedName>
    <definedName name="tblBrdHd46">OFFSET(#REF!,0,0,COUNTA(#REF!) + 1,5)</definedName>
    <definedName name="tblBrdHd6">OFFSET(#REF!,0,0,COUNTA(#REF!) + 1,5)</definedName>
    <definedName name="tblCP13">OFFSET(#REF!,0,0,COUNTA(#REF!)+1,14)</definedName>
    <definedName name="tblML12OC">OFFSET(#REF!,0,0,COUNTA(#REF!),11)</definedName>
    <definedName name="tblML2NC">OFFSET(#REF!,0,0,COUNTA(#REF!),9)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8" i="4" l="1"/>
  <c r="B28" i="4"/>
  <c r="G4" i="7"/>
  <c r="G8" i="7" s="1"/>
  <c r="B18" i="17"/>
  <c r="C25" i="3"/>
  <c r="C26" i="3"/>
  <c r="C24" i="3"/>
  <c r="C4" i="11"/>
  <c r="C6" i="11"/>
  <c r="C8" i="11" s="1"/>
  <c r="C5" i="11"/>
  <c r="C16" i="9"/>
  <c r="C18" i="12"/>
  <c r="C17" i="12"/>
  <c r="C42" i="4"/>
  <c r="C12" i="11" s="1"/>
  <c r="C34" i="4"/>
  <c r="C33" i="4"/>
  <c r="C32" i="4"/>
  <c r="C23" i="3"/>
  <c r="C22" i="3"/>
  <c r="C21" i="3"/>
  <c r="C20" i="3"/>
  <c r="C19" i="3"/>
  <c r="I12" i="10"/>
  <c r="U9" i="10"/>
  <c r="U6" i="10"/>
  <c r="U7" i="10"/>
  <c r="U5" i="10"/>
  <c r="I9" i="10"/>
  <c r="I8" i="10"/>
  <c r="I7" i="10"/>
  <c r="I6" i="10"/>
  <c r="I5" i="10"/>
  <c r="B23" i="11"/>
  <c r="B12" i="11"/>
  <c r="B8" i="11"/>
  <c r="C26" i="7"/>
  <c r="D26" i="7"/>
  <c r="B26" i="7"/>
  <c r="B10" i="7"/>
  <c r="D10" i="7" s="1"/>
  <c r="B9" i="7"/>
  <c r="C9" i="7" s="1"/>
  <c r="B8" i="7"/>
  <c r="D8" i="7" s="1"/>
  <c r="D7" i="7"/>
  <c r="C7" i="7"/>
  <c r="D6" i="7"/>
  <c r="C6" i="7"/>
  <c r="B6" i="7"/>
  <c r="B17" i="7" s="1"/>
  <c r="B22" i="7" s="1"/>
  <c r="J4" i="7" s="1"/>
  <c r="L4" i="7" s="1"/>
  <c r="L13" i="7" l="1"/>
  <c r="M13" i="7" s="1"/>
  <c r="J13" i="7"/>
  <c r="K13" i="7" s="1"/>
  <c r="I10" i="10"/>
  <c r="B19" i="7"/>
  <c r="B24" i="7" s="1"/>
  <c r="J6" i="7" s="1"/>
  <c r="L6" i="7" s="1"/>
  <c r="B18" i="7"/>
  <c r="B23" i="7" s="1"/>
  <c r="J5" i="7" s="1"/>
  <c r="L5" i="7" s="1"/>
  <c r="D19" i="7"/>
  <c r="D24" i="7" s="1"/>
  <c r="J12" i="7" s="1"/>
  <c r="C19" i="7"/>
  <c r="C24" i="7" s="1"/>
  <c r="J9" i="7" s="1"/>
  <c r="C12" i="7"/>
  <c r="C18" i="7" s="1"/>
  <c r="C23" i="7" s="1"/>
  <c r="J8" i="7" s="1"/>
  <c r="C8" i="7"/>
  <c r="C11" i="7" s="1"/>
  <c r="C17" i="7" s="1"/>
  <c r="C22" i="7" s="1"/>
  <c r="J7" i="7" s="1"/>
  <c r="D9" i="7"/>
  <c r="D12" i="7" s="1"/>
  <c r="D18" i="7" s="1"/>
  <c r="D23" i="7" s="1"/>
  <c r="J11" i="7" s="1"/>
  <c r="C10" i="7"/>
  <c r="D11" i="7"/>
  <c r="D17" i="7" s="1"/>
  <c r="D22" i="7" s="1"/>
  <c r="J10" i="7" s="1"/>
  <c r="J14" i="7" l="1"/>
  <c r="J16" i="7" s="1"/>
  <c r="L7" i="7"/>
  <c r="K7" i="7"/>
  <c r="M7" i="7" s="1"/>
  <c r="L9" i="7"/>
  <c r="K9" i="7"/>
  <c r="K12" i="7"/>
  <c r="M12" i="7" s="1"/>
  <c r="L12" i="7"/>
  <c r="K8" i="7"/>
  <c r="M8" i="7" s="1"/>
  <c r="L8" i="7"/>
  <c r="L10" i="7"/>
  <c r="K10" i="7"/>
  <c r="M10" i="7" s="1"/>
  <c r="L11" i="7"/>
  <c r="K11" i="7"/>
  <c r="M11" i="7" s="1"/>
  <c r="L14" i="7" l="1"/>
  <c r="M9" i="7"/>
  <c r="L16" i="7"/>
  <c r="P6" i="10" l="1"/>
  <c r="P7" i="10"/>
  <c r="P8" i="10"/>
  <c r="P9" i="10"/>
  <c r="P5" i="10"/>
  <c r="H6" i="4" l="1"/>
  <c r="H17" i="4" s="1"/>
  <c r="I17" i="4" s="1"/>
  <c r="F6" i="4"/>
  <c r="F17" i="4" s="1"/>
  <c r="G17" i="4" s="1"/>
  <c r="B19" i="11"/>
  <c r="C19" i="11" s="1"/>
  <c r="B20" i="11"/>
  <c r="C20" i="11" s="1"/>
  <c r="D19" i="11"/>
  <c r="E19" i="11" s="1"/>
  <c r="D20" i="11"/>
  <c r="E20" i="11" s="1"/>
  <c r="K12" i="3"/>
  <c r="L12" i="3"/>
  <c r="M12" i="3" s="1"/>
  <c r="J12" i="3"/>
  <c r="L11" i="3"/>
  <c r="M11" i="3" s="1"/>
  <c r="J11" i="3"/>
  <c r="K11" i="3" s="1"/>
  <c r="L10" i="3"/>
  <c r="M10" i="3" s="1"/>
  <c r="J10" i="3"/>
  <c r="K10" i="3" s="1"/>
  <c r="C20" i="4"/>
  <c r="C13" i="4"/>
  <c r="G9" i="3"/>
  <c r="L7" i="3" s="1"/>
  <c r="M7" i="3" s="1"/>
  <c r="E7" i="1" s="1"/>
  <c r="F9" i="3"/>
  <c r="J7" i="3" s="1"/>
  <c r="K7" i="3" s="1"/>
  <c r="G8" i="3"/>
  <c r="L6" i="3" s="1"/>
  <c r="M6" i="3" s="1"/>
  <c r="E6" i="1" s="1"/>
  <c r="F8" i="3"/>
  <c r="J6" i="3" s="1"/>
  <c r="K6" i="3" s="1"/>
  <c r="G6" i="3"/>
  <c r="G7" i="3" s="1"/>
  <c r="L5" i="3" s="1"/>
  <c r="N12" i="10" s="1"/>
  <c r="F6" i="3"/>
  <c r="F7" i="3" s="1"/>
  <c r="J5" i="3" s="1"/>
  <c r="K5" i="3" s="1"/>
  <c r="C19" i="15"/>
  <c r="H7" i="15" s="1"/>
  <c r="I7" i="15" s="1"/>
  <c r="C11" i="15"/>
  <c r="C12" i="15"/>
  <c r="C5" i="15"/>
  <c r="C6" i="15" s="1"/>
  <c r="H5" i="15" s="1"/>
  <c r="F18" i="10"/>
  <c r="G18" i="10" s="1"/>
  <c r="O12" i="10"/>
  <c r="S12" i="10" s="1"/>
  <c r="U12" i="10" s="1"/>
  <c r="B19" i="15"/>
  <c r="F7" i="15" s="1"/>
  <c r="G7" i="15" s="1"/>
  <c r="B12" i="15"/>
  <c r="B11" i="15"/>
  <c r="B5" i="15"/>
  <c r="B6" i="15" s="1"/>
  <c r="F5" i="15" s="1"/>
  <c r="S5" i="10"/>
  <c r="F19" i="10"/>
  <c r="G19" i="10" s="1"/>
  <c r="X7" i="10"/>
  <c r="N10" i="10"/>
  <c r="D7" i="14"/>
  <c r="D10" i="14" s="1"/>
  <c r="E10" i="14" s="1"/>
  <c r="E12" i="14" s="1"/>
  <c r="E9" i="13" s="1"/>
  <c r="C7" i="12"/>
  <c r="C6" i="12"/>
  <c r="C8" i="12"/>
  <c r="C9" i="12" s="1"/>
  <c r="D16" i="11"/>
  <c r="E16" i="11" s="1"/>
  <c r="D17" i="11"/>
  <c r="I7" i="8"/>
  <c r="H5" i="8"/>
  <c r="I5" i="8" s="1"/>
  <c r="H4" i="4"/>
  <c r="I4" i="4" s="1"/>
  <c r="E12" i="1" s="1"/>
  <c r="C37" i="4"/>
  <c r="C38" i="4"/>
  <c r="C39" i="4"/>
  <c r="C40" i="4"/>
  <c r="C11" i="4"/>
  <c r="C9" i="4"/>
  <c r="C19" i="4" s="1"/>
  <c r="L9" i="3"/>
  <c r="M9" i="3" s="1"/>
  <c r="L8" i="3"/>
  <c r="I6" i="9"/>
  <c r="J6" i="9" s="1"/>
  <c r="I7" i="9"/>
  <c r="J7" i="9" s="1"/>
  <c r="I8" i="9"/>
  <c r="J8" i="9" s="1"/>
  <c r="I5" i="9"/>
  <c r="G6" i="9"/>
  <c r="H6" i="9" s="1"/>
  <c r="G7" i="9"/>
  <c r="H7" i="9" s="1"/>
  <c r="G8" i="9"/>
  <c r="H8" i="9" s="1"/>
  <c r="G5" i="9"/>
  <c r="C9" i="9"/>
  <c r="C10" i="9" s="1"/>
  <c r="I15" i="9" s="1"/>
  <c r="J15" i="9" s="1"/>
  <c r="C11" i="9"/>
  <c r="I16" i="9" s="1"/>
  <c r="C12" i="9"/>
  <c r="C18" i="9"/>
  <c r="C22" i="9" s="1"/>
  <c r="C25" i="9" s="1"/>
  <c r="C26" i="9" s="1"/>
  <c r="I9" i="9" s="1"/>
  <c r="J9" i="9" s="1"/>
  <c r="F5" i="8"/>
  <c r="B40" i="4"/>
  <c r="F9" i="4" s="1"/>
  <c r="C13" i="3"/>
  <c r="C7" i="3"/>
  <c r="J9" i="3"/>
  <c r="K9" i="3" s="1"/>
  <c r="B7" i="14"/>
  <c r="B10" i="14" s="1"/>
  <c r="B22" i="1" s="1"/>
  <c r="C22" i="1" s="1"/>
  <c r="B10" i="10"/>
  <c r="C12" i="10"/>
  <c r="G12" i="10" s="1"/>
  <c r="G7" i="8"/>
  <c r="F4" i="4"/>
  <c r="B12" i="1" s="1"/>
  <c r="B11" i="9"/>
  <c r="J8" i="3"/>
  <c r="K8" i="3" s="1"/>
  <c r="L13" i="3" l="1"/>
  <c r="B14" i="1"/>
  <c r="D14" i="1"/>
  <c r="L14" i="3"/>
  <c r="I6" i="4"/>
  <c r="E14" i="1" s="1"/>
  <c r="F15" i="4"/>
  <c r="G6" i="4"/>
  <c r="C24" i="4"/>
  <c r="C25" i="4"/>
  <c r="C26" i="4" s="1"/>
  <c r="H8" i="4" s="1"/>
  <c r="H20" i="4" s="1"/>
  <c r="I20" i="4" s="1"/>
  <c r="H9" i="4"/>
  <c r="D23" i="1" s="1"/>
  <c r="G9" i="4"/>
  <c r="C21" i="4"/>
  <c r="C22" i="4" s="1"/>
  <c r="H7" i="4" s="1"/>
  <c r="I7" i="4" s="1"/>
  <c r="E15" i="1" s="1"/>
  <c r="C14" i="4"/>
  <c r="C15" i="4" s="1"/>
  <c r="C12" i="4"/>
  <c r="B7" i="1"/>
  <c r="C6" i="1"/>
  <c r="D22" i="1"/>
  <c r="E22" i="1" s="1"/>
  <c r="D12" i="14"/>
  <c r="D9" i="13" s="1"/>
  <c r="M5" i="3"/>
  <c r="J5" i="9"/>
  <c r="C23" i="9"/>
  <c r="C27" i="9" s="1"/>
  <c r="I10" i="9" s="1"/>
  <c r="J10" i="9" s="1"/>
  <c r="C24" i="9"/>
  <c r="C28" i="9" s="1"/>
  <c r="C29" i="9" s="1"/>
  <c r="I11" i="9" s="1"/>
  <c r="M8" i="3"/>
  <c r="B13" i="15"/>
  <c r="B15" i="15" s="1"/>
  <c r="F6" i="15" s="1"/>
  <c r="C13" i="15"/>
  <c r="C15" i="15" s="1"/>
  <c r="H6" i="15" s="1"/>
  <c r="I6" i="15" s="1"/>
  <c r="I5" i="15"/>
  <c r="G5" i="15"/>
  <c r="B12" i="14"/>
  <c r="B9" i="13" s="1"/>
  <c r="D5" i="1"/>
  <c r="D6" i="1"/>
  <c r="D12" i="1"/>
  <c r="D18" i="11"/>
  <c r="D21" i="11" s="1"/>
  <c r="D7" i="1"/>
  <c r="F20" i="10"/>
  <c r="G20" i="10" s="1"/>
  <c r="G23" i="10" s="1"/>
  <c r="D20" i="1" s="1"/>
  <c r="E20" i="1" s="1"/>
  <c r="P12" i="10"/>
  <c r="X12" i="10" s="1"/>
  <c r="D32" i="1" s="1"/>
  <c r="E32" i="1" s="1"/>
  <c r="P10" i="10"/>
  <c r="S6" i="10"/>
  <c r="T6" i="10" s="1"/>
  <c r="W6" i="10" s="1"/>
  <c r="S8" i="10"/>
  <c r="U8" i="10" s="1"/>
  <c r="X8" i="10" s="1"/>
  <c r="S9" i="10"/>
  <c r="T9" i="10" s="1"/>
  <c r="W9" i="10" s="1"/>
  <c r="X9" i="10"/>
  <c r="X5" i="10"/>
  <c r="S7" i="10"/>
  <c r="T7" i="10" s="1"/>
  <c r="W7" i="10" s="1"/>
  <c r="Y7" i="10" s="1"/>
  <c r="T5" i="10"/>
  <c r="X6" i="10"/>
  <c r="C10" i="14"/>
  <c r="C12" i="14" s="1"/>
  <c r="C9" i="13" s="1"/>
  <c r="C10" i="12"/>
  <c r="E17" i="11"/>
  <c r="C11" i="12"/>
  <c r="H15" i="4"/>
  <c r="I15" i="4" s="1"/>
  <c r="C13" i="9"/>
  <c r="I17" i="9" s="1"/>
  <c r="J17" i="9" s="1"/>
  <c r="J16" i="9"/>
  <c r="C7" i="1"/>
  <c r="D21" i="1" l="1"/>
  <c r="E21" i="1" s="1"/>
  <c r="D23" i="11"/>
  <c r="M13" i="3"/>
  <c r="E8" i="1" s="1"/>
  <c r="D8" i="1"/>
  <c r="D9" i="1" s="1"/>
  <c r="C18" i="17" s="1"/>
  <c r="C14" i="1"/>
  <c r="M14" i="3"/>
  <c r="I9" i="4"/>
  <c r="E23" i="1" s="1"/>
  <c r="H5" i="4"/>
  <c r="I8" i="4"/>
  <c r="E16" i="1" s="1"/>
  <c r="D16" i="1"/>
  <c r="C23" i="1"/>
  <c r="G6" i="15"/>
  <c r="G8" i="15" s="1"/>
  <c r="H18" i="4"/>
  <c r="I18" i="4" s="1"/>
  <c r="D15" i="1"/>
  <c r="H19" i="4"/>
  <c r="I19" i="4" s="1"/>
  <c r="B12" i="10"/>
  <c r="D12" i="10" s="1"/>
  <c r="L12" i="10" s="1"/>
  <c r="E5" i="1"/>
  <c r="B33" i="1"/>
  <c r="C33" i="1" s="1"/>
  <c r="H8" i="15"/>
  <c r="I8" i="15"/>
  <c r="T12" i="10"/>
  <c r="W12" i="10" s="1"/>
  <c r="Y12" i="10" s="1"/>
  <c r="F8" i="15"/>
  <c r="D33" i="1"/>
  <c r="E33" i="1" s="1"/>
  <c r="I12" i="9"/>
  <c r="J18" i="9"/>
  <c r="E24" i="1" s="1"/>
  <c r="D17" i="1"/>
  <c r="I18" i="9"/>
  <c r="D24" i="1" s="1"/>
  <c r="E18" i="11"/>
  <c r="E21" i="11" s="1"/>
  <c r="F23" i="10"/>
  <c r="R12" i="10"/>
  <c r="X10" i="10"/>
  <c r="S10" i="10"/>
  <c r="Y9" i="10"/>
  <c r="Y6" i="10"/>
  <c r="T8" i="10"/>
  <c r="W8" i="10" s="1"/>
  <c r="Y8" i="10" s="1"/>
  <c r="U10" i="10"/>
  <c r="W5" i="10"/>
  <c r="C14" i="12"/>
  <c r="C15" i="12" s="1"/>
  <c r="D24" i="12"/>
  <c r="D25" i="12"/>
  <c r="J11" i="9"/>
  <c r="C5" i="1"/>
  <c r="E9" i="1" l="1"/>
  <c r="B32" i="1"/>
  <c r="C32" i="1" s="1"/>
  <c r="F12" i="10"/>
  <c r="H12" i="10"/>
  <c r="K12" i="10" s="1"/>
  <c r="M12" i="10" s="1"/>
  <c r="J12" i="9"/>
  <c r="E19" i="1" s="1"/>
  <c r="D27" i="12"/>
  <c r="D26" i="1"/>
  <c r="E26" i="1" s="1"/>
  <c r="E24" i="12"/>
  <c r="E25" i="12"/>
  <c r="D25" i="1"/>
  <c r="E25" i="1" s="1"/>
  <c r="M16" i="7"/>
  <c r="E6" i="13" s="1"/>
  <c r="D6" i="13"/>
  <c r="I21" i="9"/>
  <c r="J21" i="9" s="1"/>
  <c r="D19" i="1"/>
  <c r="T10" i="10"/>
  <c r="Y5" i="10"/>
  <c r="Y10" i="10" s="1"/>
  <c r="D31" i="1" s="1"/>
  <c r="W10" i="10"/>
  <c r="B8" i="12"/>
  <c r="B9" i="12" s="1"/>
  <c r="B7" i="12"/>
  <c r="B6" i="12"/>
  <c r="E31" i="1" l="1"/>
  <c r="E34" i="1" s="1"/>
  <c r="D34" i="1"/>
  <c r="D8" i="13"/>
  <c r="E27" i="12"/>
  <c r="E8" i="13" s="1"/>
  <c r="B10" i="12"/>
  <c r="B14" i="12" l="1"/>
  <c r="B15" i="12" s="1"/>
  <c r="B24" i="12"/>
  <c r="B25" i="12"/>
  <c r="B16" i="11"/>
  <c r="B17" i="11"/>
  <c r="D6" i="10"/>
  <c r="D7" i="10"/>
  <c r="D8" i="10"/>
  <c r="D9" i="10"/>
  <c r="D5" i="10"/>
  <c r="C16" i="11" l="1"/>
  <c r="B27" i="12"/>
  <c r="C24" i="12"/>
  <c r="B25" i="1"/>
  <c r="C25" i="1" s="1"/>
  <c r="C25" i="12"/>
  <c r="C20" i="10"/>
  <c r="D20" i="10" s="1"/>
  <c r="L7" i="10"/>
  <c r="C19" i="10"/>
  <c r="D19" i="10" s="1"/>
  <c r="C17" i="11"/>
  <c r="D10" i="10"/>
  <c r="C18" i="10"/>
  <c r="D18" i="10" s="1"/>
  <c r="B26" i="1"/>
  <c r="C26" i="1" s="1"/>
  <c r="L8" i="10"/>
  <c r="G8" i="10"/>
  <c r="H8" i="10" s="1"/>
  <c r="K8" i="10" s="1"/>
  <c r="G7" i="10"/>
  <c r="H7" i="10" s="1"/>
  <c r="K7" i="10" s="1"/>
  <c r="G6" i="10"/>
  <c r="H6" i="10" s="1"/>
  <c r="K6" i="10" s="1"/>
  <c r="G5" i="10"/>
  <c r="L9" i="10"/>
  <c r="G9" i="10"/>
  <c r="H9" i="10" s="1"/>
  <c r="K9" i="10" s="1"/>
  <c r="L6" i="10" l="1"/>
  <c r="M6" i="10" s="1"/>
  <c r="B8" i="13"/>
  <c r="G10" i="10"/>
  <c r="M8" i="10"/>
  <c r="M9" i="10"/>
  <c r="M7" i="10"/>
  <c r="H5" i="10"/>
  <c r="H10" i="10" s="1"/>
  <c r="L5" i="10"/>
  <c r="D23" i="10"/>
  <c r="C23" i="10"/>
  <c r="B12" i="9"/>
  <c r="G16" i="9"/>
  <c r="H16" i="9" s="1"/>
  <c r="B18" i="9"/>
  <c r="B23" i="9" s="1"/>
  <c r="B27" i="9" s="1"/>
  <c r="G10" i="9" s="1"/>
  <c r="H10" i="9" s="1"/>
  <c r="H5" i="9"/>
  <c r="B9" i="9"/>
  <c r="B10" i="9" s="1"/>
  <c r="G15" i="9" s="1"/>
  <c r="H15" i="9" s="1"/>
  <c r="G5" i="8"/>
  <c r="K6" i="7"/>
  <c r="M6" i="7" s="1"/>
  <c r="G4" i="4"/>
  <c r="B39" i="4"/>
  <c r="B37" i="4"/>
  <c r="B38" i="4"/>
  <c r="B6" i="4"/>
  <c r="B5" i="4"/>
  <c r="B9" i="4"/>
  <c r="B6" i="1"/>
  <c r="B13" i="3"/>
  <c r="J13" i="3" s="1"/>
  <c r="B7" i="3"/>
  <c r="B5" i="1" s="1"/>
  <c r="K13" i="3" l="1"/>
  <c r="J14" i="3"/>
  <c r="B8" i="1"/>
  <c r="B9" i="1" s="1"/>
  <c r="B20" i="1"/>
  <c r="C20" i="1" s="1"/>
  <c r="L10" i="10"/>
  <c r="B11" i="12"/>
  <c r="B25" i="4"/>
  <c r="B24" i="4"/>
  <c r="B18" i="11"/>
  <c r="B26" i="4"/>
  <c r="F8" i="4" s="1"/>
  <c r="B13" i="4"/>
  <c r="B14" i="4" s="1"/>
  <c r="B15" i="4" s="1"/>
  <c r="B20" i="4"/>
  <c r="B21" i="4" s="1"/>
  <c r="B22" i="4" s="1"/>
  <c r="C27" i="12"/>
  <c r="C8" i="13" s="1"/>
  <c r="K5" i="7"/>
  <c r="M5" i="7" s="1"/>
  <c r="B4" i="8"/>
  <c r="K4" i="7"/>
  <c r="B11" i="4"/>
  <c r="B18" i="4"/>
  <c r="B19" i="4" s="1"/>
  <c r="C12" i="1"/>
  <c r="B23" i="1"/>
  <c r="B13" i="9"/>
  <c r="G17" i="9" s="1"/>
  <c r="H17" i="9" s="1"/>
  <c r="H18" i="9" s="1"/>
  <c r="K5" i="10"/>
  <c r="K10" i="10" s="1"/>
  <c r="B22" i="9"/>
  <c r="B25" i="9" s="1"/>
  <c r="B26" i="9" s="1"/>
  <c r="G9" i="9" s="1"/>
  <c r="B24" i="9"/>
  <c r="B28" i="9" s="1"/>
  <c r="B29" i="9" s="1"/>
  <c r="G11" i="9" s="1"/>
  <c r="H11" i="9" s="1"/>
  <c r="K14" i="7" l="1"/>
  <c r="M4" i="7"/>
  <c r="C24" i="1"/>
  <c r="C8" i="1"/>
  <c r="C9" i="1" s="1"/>
  <c r="K14" i="3"/>
  <c r="B21" i="11"/>
  <c r="F19" i="4"/>
  <c r="G19" i="4" s="1"/>
  <c r="C18" i="11"/>
  <c r="C21" i="11" s="1"/>
  <c r="F7" i="4"/>
  <c r="F18" i="4" s="1"/>
  <c r="I5" i="4"/>
  <c r="H10" i="4"/>
  <c r="H16" i="4"/>
  <c r="D13" i="1"/>
  <c r="B12" i="4"/>
  <c r="G12" i="9"/>
  <c r="B16" i="1"/>
  <c r="F20" i="4"/>
  <c r="G20" i="4" s="1"/>
  <c r="D7" i="13"/>
  <c r="F8" i="8"/>
  <c r="G8" i="8" s="1"/>
  <c r="C4" i="8"/>
  <c r="F6" i="8"/>
  <c r="G6" i="8" s="1"/>
  <c r="G18" i="9"/>
  <c r="H9" i="9"/>
  <c r="G8" i="4"/>
  <c r="G15" i="4"/>
  <c r="M5" i="10"/>
  <c r="M10" i="10" s="1"/>
  <c r="M14" i="7" l="1"/>
  <c r="E17" i="1" s="1"/>
  <c r="B24" i="1"/>
  <c r="B6" i="13"/>
  <c r="B21" i="1"/>
  <c r="C21" i="1" s="1"/>
  <c r="C23" i="11"/>
  <c r="C7" i="13" s="1"/>
  <c r="G21" i="9"/>
  <c r="H21" i="9" s="1"/>
  <c r="B31" i="1"/>
  <c r="C31" i="1" s="1"/>
  <c r="C34" i="1" s="1"/>
  <c r="C16" i="1"/>
  <c r="G18" i="4"/>
  <c r="F5" i="4"/>
  <c r="F10" i="4" s="1"/>
  <c r="B15" i="1"/>
  <c r="G7" i="4"/>
  <c r="I16" i="4"/>
  <c r="I21" i="4" s="1"/>
  <c r="E5" i="13" s="1"/>
  <c r="H21" i="4"/>
  <c r="D5" i="13" s="1"/>
  <c r="D10" i="13" s="1"/>
  <c r="D27" i="1" s="1"/>
  <c r="E13" i="1"/>
  <c r="I10" i="4"/>
  <c r="B17" i="1"/>
  <c r="H12" i="9"/>
  <c r="G9" i="8"/>
  <c r="F9" i="8"/>
  <c r="E23" i="11"/>
  <c r="E7" i="13" s="1"/>
  <c r="H8" i="8"/>
  <c r="I8" i="8" s="1"/>
  <c r="H6" i="8"/>
  <c r="C17" i="1"/>
  <c r="B19" i="1"/>
  <c r="K16" i="7" l="1"/>
  <c r="C6" i="13" s="1"/>
  <c r="B7" i="13"/>
  <c r="B18" i="1"/>
  <c r="C18" i="1"/>
  <c r="C19" i="1"/>
  <c r="B34" i="1"/>
  <c r="F16" i="4"/>
  <c r="F21" i="4" s="1"/>
  <c r="B5" i="13" s="1"/>
  <c r="B10" i="13" s="1"/>
  <c r="C15" i="1"/>
  <c r="B13" i="1"/>
  <c r="G5" i="4"/>
  <c r="E10" i="13"/>
  <c r="E27" i="1" s="1"/>
  <c r="H9" i="8"/>
  <c r="D18" i="1" s="1"/>
  <c r="D28" i="1" s="1"/>
  <c r="D36" i="1" s="1"/>
  <c r="C19" i="17" s="1"/>
  <c r="I6" i="8"/>
  <c r="I9" i="8" s="1"/>
  <c r="E18" i="1" s="1"/>
  <c r="G16" i="4" l="1"/>
  <c r="G21" i="4" s="1"/>
  <c r="C5" i="13" s="1"/>
  <c r="C10" i="13" s="1"/>
  <c r="C27" i="1" s="1"/>
  <c r="B27" i="1"/>
  <c r="C13" i="1"/>
  <c r="G10" i="4"/>
  <c r="E28" i="1"/>
  <c r="E36" i="1" s="1"/>
  <c r="E38" i="1" s="1"/>
  <c r="D38" i="1"/>
  <c r="C20" i="17" s="1"/>
  <c r="B28" i="1" l="1"/>
  <c r="B36" i="1" s="1"/>
  <c r="C28" i="1"/>
  <c r="C36" i="1" s="1"/>
  <c r="C38" i="1" s="1"/>
  <c r="B38" i="1" l="1"/>
  <c r="B20" i="17" s="1"/>
  <c r="B19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Jon Biermacher</author>
  </authors>
  <commentList>
    <comment ref="B4" authorId="0" shapeId="0" xr:uid="{94FA59EF-A013-404D-9866-F23B1461F6A3}">
      <text>
        <r>
          <rPr>
            <b/>
            <sz val="9"/>
            <color indexed="81"/>
            <rFont val="Tahoma"/>
            <family val="2"/>
          </rPr>
          <t>Jon Biermacher:</t>
        </r>
        <r>
          <rPr>
            <sz val="9"/>
            <color indexed="81"/>
            <rFont val="Tahoma"/>
            <family val="2"/>
          </rPr>
          <t xml:space="preserve">
note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Jon Biermacher</author>
  </authors>
  <commentList>
    <comment ref="B12" authorId="0" shapeId="0" xr:uid="{C71DDA30-6B0D-4506-956A-34A070472EC8}">
      <text>
        <r>
          <rPr>
            <b/>
            <sz val="9"/>
            <color indexed="81"/>
            <rFont val="Tahoma"/>
            <family val="2"/>
          </rPr>
          <t>Jon Biermacher:</t>
        </r>
        <r>
          <rPr>
            <sz val="9"/>
            <color indexed="81"/>
            <rFont val="Tahoma"/>
            <family val="2"/>
          </rPr>
          <t xml:space="preserve">
equal to the value of the lamb as a feeder lamb ($/lb times weight).</t>
        </r>
      </text>
    </comment>
    <comment ref="C12" authorId="0" shapeId="0" xr:uid="{7B2EF670-E760-4D50-BE0C-78F0D95FC373}">
      <text>
        <r>
          <rPr>
            <b/>
            <sz val="9"/>
            <color indexed="81"/>
            <rFont val="Tahoma"/>
            <family val="2"/>
          </rPr>
          <t>Jon Biermacher:</t>
        </r>
        <r>
          <rPr>
            <sz val="9"/>
            <color indexed="81"/>
            <rFont val="Tahoma"/>
            <family val="2"/>
          </rPr>
          <t xml:space="preserve">
Assume retention equal to the numbe of ewes culled each year (10%).
</t>
        </r>
      </text>
    </comment>
  </commentList>
</comments>
</file>

<file path=xl/sharedStrings.xml><?xml version="1.0" encoding="utf-8"?>
<sst xmlns="http://schemas.openxmlformats.org/spreadsheetml/2006/main" count="533" uniqueCount="354">
  <si>
    <t>Lambs</t>
  </si>
  <si>
    <t>Cull ewes</t>
  </si>
  <si>
    <t>Cull rams</t>
  </si>
  <si>
    <t>Pasture</t>
  </si>
  <si>
    <t>Hay</t>
  </si>
  <si>
    <t>Breeding (ram cost per ewe)</t>
  </si>
  <si>
    <t>Shearing ewes</t>
  </si>
  <si>
    <t>Hired Labor</t>
  </si>
  <si>
    <t>Interest on retained livestock</t>
  </si>
  <si>
    <t>Ave. Flock Size (hd)</t>
  </si>
  <si>
    <t>Ram flock (hd)</t>
  </si>
  <si>
    <t>Cull Ram Rate (%)</t>
  </si>
  <si>
    <t>Cull Ewe Rate (%)</t>
  </si>
  <si>
    <t>Mature ewe death loss rate (%)</t>
  </si>
  <si>
    <t>Region avg. lambing percent (%)</t>
  </si>
  <si>
    <t>Cull Ewe Price ($/lb)</t>
  </si>
  <si>
    <t>Cull Ram Price ($/lb)</t>
  </si>
  <si>
    <t>Feeder lamb wt (lbs)</t>
  </si>
  <si>
    <t>Cull ewe wt (lbs)</t>
  </si>
  <si>
    <t>Cull ram wt (lbs)</t>
  </si>
  <si>
    <t>Unit</t>
  </si>
  <si>
    <t>Quantity</t>
  </si>
  <si>
    <t>Sources of revenue:</t>
  </si>
  <si>
    <t>Feeder lambs</t>
  </si>
  <si>
    <t>$/flock</t>
  </si>
  <si>
    <t>$/ewe</t>
  </si>
  <si>
    <t>Total gross revenue</t>
  </si>
  <si>
    <t>Wool price ($/lb)</t>
  </si>
  <si>
    <t>Flock size after death loss</t>
  </si>
  <si>
    <t>Feeder lamb price ($/lb)</t>
  </si>
  <si>
    <t>Animal parameters</t>
  </si>
  <si>
    <t>Market parameters</t>
  </si>
  <si>
    <t>$/unit</t>
  </si>
  <si>
    <t>Ewes per ram (hd)</t>
  </si>
  <si>
    <t>Stocking rate (acres/ewe)</t>
  </si>
  <si>
    <t>Pasture rental rate ($/acre)</t>
  </si>
  <si>
    <t>Days on pasture</t>
  </si>
  <si>
    <t>Quantity of dog food (lbs/day)</t>
  </si>
  <si>
    <t>Dog days</t>
  </si>
  <si>
    <t>Pature and feed parameters</t>
  </si>
  <si>
    <t>Price of feed ($/ton)</t>
  </si>
  <si>
    <t>Price of feed ($/lb)</t>
  </si>
  <si>
    <t>Price of hay ($/ton)</t>
  </si>
  <si>
    <t>Price of hay ($/lb)</t>
  </si>
  <si>
    <t>Price of mineral ($/50lbs)</t>
  </si>
  <si>
    <t>Price of mineral ($/lb)</t>
  </si>
  <si>
    <t>Price of dog food ($/50lbs)</t>
  </si>
  <si>
    <t>Price of dog food ($/lb)</t>
  </si>
  <si>
    <t>Interest rate for operating capital (%)</t>
  </si>
  <si>
    <t>Source of feed costs:</t>
  </si>
  <si>
    <t>Table 1. Sources of feed costs for a typical flock of range-based sheep in North Dakota</t>
  </si>
  <si>
    <t>Pasture rental</t>
  </si>
  <si>
    <t>Feed for sheep</t>
  </si>
  <si>
    <t>Feed for dogs</t>
  </si>
  <si>
    <t>Salt and mineral</t>
  </si>
  <si>
    <t>Days on feed, dry</t>
  </si>
  <si>
    <t>Table P1. Animal, feed, market parameters for calculating the cost of pasture and feed</t>
  </si>
  <si>
    <t>CD&amp;T Booster (ewes)</t>
  </si>
  <si>
    <t>CD&amp;T Booster (rams)</t>
  </si>
  <si>
    <t>Source of vet/health cost:</t>
  </si>
  <si>
    <t>Total cost of vet/health</t>
  </si>
  <si>
    <t>CD&amp;T Booster (lambs)</t>
  </si>
  <si>
    <t>Animal and market parameters:</t>
  </si>
  <si>
    <t>Ewes to ram ratio</t>
  </si>
  <si>
    <t>Purchase price of ram ($/ram)</t>
  </si>
  <si>
    <t>Cost of ram amorized over 5 years ($/ram)</t>
  </si>
  <si>
    <t>Cost of ram amorized over 5 years ($/ewe)</t>
  </si>
  <si>
    <t>Breeding soundess exam ($/ram)</t>
  </si>
  <si>
    <t>Breeding soundess exam ($/ewe)</t>
  </si>
  <si>
    <t>Total cost of breeding rams ($/ewe)</t>
  </si>
  <si>
    <t>Table M1. Parameters for calculating costs of marketing and transportation of feeder lambs</t>
  </si>
  <si>
    <t>Auction/commission fees ($/lamb)</t>
  </si>
  <si>
    <t>Price per roundtrip mile ($/mile)</t>
  </si>
  <si>
    <t>Distance to market (miles)</t>
  </si>
  <si>
    <t>Pencil shrink (%)</t>
  </si>
  <si>
    <t>Inspection ($/lamb)</t>
  </si>
  <si>
    <t>Yardage ($/lamb)</t>
  </si>
  <si>
    <t>Feed ($/lamb)</t>
  </si>
  <si>
    <t>Parameters for marketing:</t>
  </si>
  <si>
    <t>Parameters for transportation:</t>
  </si>
  <si>
    <t>Commercial (48'x53') truck/trailer capacity (lambs/load)</t>
  </si>
  <si>
    <t>Checkoff, feeder lambs ($/lamb)</t>
  </si>
  <si>
    <t>Checkoff, feeder lambs ($/ewe)</t>
  </si>
  <si>
    <t>Checkoff, cull ewes for slaugher ($/ewe)</t>
  </si>
  <si>
    <t>Checkoff, cull rams for slaugher ($/ram)</t>
  </si>
  <si>
    <t>Checkoff, cull rams for slaugher ($/ewe)</t>
  </si>
  <si>
    <t>Beginning feeder lamb weight (lbs/lamb)</t>
  </si>
  <si>
    <t>Cost of transporting feeder lambs ($/lamb)</t>
  </si>
  <si>
    <t>Cost of transporting feeder lambs ($/ewe)</t>
  </si>
  <si>
    <t>Cost of transporting cull ewes ($/ewe)</t>
  </si>
  <si>
    <t>Commercial (48'x53') truck/trailer capacity (ewes/load)</t>
  </si>
  <si>
    <t>Commercial (48'x53') truck/trailer capacity (rams/load)</t>
  </si>
  <si>
    <t>Checkoff, live sheep ($/lb)</t>
  </si>
  <si>
    <t>Requied spacing for lambs (sq ft)</t>
  </si>
  <si>
    <t>Requied spacing for ewes (sq ft)</t>
  </si>
  <si>
    <t>Requied spacing for rams (sq ft)</t>
  </si>
  <si>
    <t>Commercial (48'x53') truck/trailer animal capacity (sq ft)</t>
  </si>
  <si>
    <t>Cost of transporting cull rams ($/ewe)</t>
  </si>
  <si>
    <t>Cost of transporting cull rams ($/ram)</t>
  </si>
  <si>
    <t>Pickup truck (1/2 ton, 4x4)</t>
  </si>
  <si>
    <t>90 hp 4x4 tractor for moving hay and feed</t>
  </si>
  <si>
    <t>6-panel ring feeder for hay</t>
  </si>
  <si>
    <t>Feeders for grain rations</t>
  </si>
  <si>
    <t>Fuel/lube ($/year)</t>
  </si>
  <si>
    <t>Fuel/lube ($/ewe)</t>
  </si>
  <si>
    <t>Fuel/lube (%)</t>
  </si>
  <si>
    <t>-</t>
  </si>
  <si>
    <t>Utilities ($/year)</t>
  </si>
  <si>
    <t>Utilities ($/month)</t>
  </si>
  <si>
    <t>Utilities ($/ewe)</t>
  </si>
  <si>
    <t>Fixed cost ($/ewe)</t>
  </si>
  <si>
    <t>Primary machinery and equipment:</t>
  </si>
  <si>
    <t>Parameters of interest</t>
  </si>
  <si>
    <t>Total cost of shearing ($/ewe)</t>
  </si>
  <si>
    <t>Setup fee ($/ewe)</t>
  </si>
  <si>
    <t>Price of shearing ($/ewe)</t>
  </si>
  <si>
    <t>Price of shearing ($/ram)</t>
  </si>
  <si>
    <t>Price of hired labor ($/hour)</t>
  </si>
  <si>
    <t>Reservation wage for owner labor ($/hour)</t>
  </si>
  <si>
    <t>I think these categories are the most difficult to guestimate</t>
  </si>
  <si>
    <t>Variable costs:</t>
  </si>
  <si>
    <t>Gross receipts:</t>
  </si>
  <si>
    <t>Total variable costs</t>
  </si>
  <si>
    <t>Fixed costs:</t>
  </si>
  <si>
    <t>Taxes</t>
  </si>
  <si>
    <t>Land value ($/ewe)</t>
  </si>
  <si>
    <t>Tax rate (% of land value)</t>
  </si>
  <si>
    <t>Assessed value of land (% of purchase price)</t>
  </si>
  <si>
    <t>Land value ($/acre)</t>
  </si>
  <si>
    <t>Assessed value of land ($/acre)</t>
  </si>
  <si>
    <t>Total taxes ($/ewe)</t>
  </si>
  <si>
    <t>Insurance</t>
  </si>
  <si>
    <t>What about LRP insurance?</t>
  </si>
  <si>
    <t>Farm liability insurance ($/farm/year)</t>
  </si>
  <si>
    <t>Farm liability insurance ($/ewe)</t>
  </si>
  <si>
    <t>What about private livestock coverage?</t>
  </si>
  <si>
    <t>Utilities:</t>
  </si>
  <si>
    <t>(ATV) for checking sheep</t>
  </si>
  <si>
    <t>Life (years)</t>
  </si>
  <si>
    <t>S.V. ($/item)</t>
  </si>
  <si>
    <t>S.L. Depreciation ($/year)</t>
  </si>
  <si>
    <t>Salvage value (%)</t>
  </si>
  <si>
    <t>Interest ($/item)</t>
  </si>
  <si>
    <t>Interest cost ($/ewe)</t>
  </si>
  <si>
    <t>Capital recovery ($/ewe)</t>
  </si>
  <si>
    <t>Total</t>
  </si>
  <si>
    <t>Value of asset ($/item)</t>
  </si>
  <si>
    <t>Total value ($/item)</t>
  </si>
  <si>
    <t>Used for Sheep (%)</t>
  </si>
  <si>
    <t>Share of hired labor as percent of total (%)</t>
  </si>
  <si>
    <t>Cost of hired labor ($/ewe)</t>
  </si>
  <si>
    <t>Cost of family labor ($/ewe)</t>
  </si>
  <si>
    <t>Quantity of hired labor provided (hours/year/ewe)</t>
  </si>
  <si>
    <t>Quantity of family labor provided (hours/year/ewe)</t>
  </si>
  <si>
    <t>Quantity of labor, pasture (hours/day/flock)</t>
  </si>
  <si>
    <t>Quantity of labor, drylot (hours/day/flock)</t>
  </si>
  <si>
    <t>Quantity of labor, pasture (hours/day/ewe)</t>
  </si>
  <si>
    <t>Quantity of labor, drylot (hours/day/ewe)</t>
  </si>
  <si>
    <t>Days in drylot</t>
  </si>
  <si>
    <t>Quantity of labor, pasture (hours/year/ewe)</t>
  </si>
  <si>
    <t>Quantity of labor, drylot (hours/year/ewe)</t>
  </si>
  <si>
    <t>$/operation</t>
  </si>
  <si>
    <t>Cost of feed</t>
  </si>
  <si>
    <t>Interest for vet&amp;health</t>
  </si>
  <si>
    <t>Interest for marketing and transportation</t>
  </si>
  <si>
    <t>Total cost of marketing &amp; hauling ($/ewe)</t>
  </si>
  <si>
    <t>Marketing and hauling expenses:</t>
  </si>
  <si>
    <t>Checkoff expenses:</t>
  </si>
  <si>
    <t>Total checkoff expenses ($/ewe)</t>
  </si>
  <si>
    <t>Dogs needed per flock</t>
  </si>
  <si>
    <t>Expense category</t>
  </si>
  <si>
    <t>Pature and feed</t>
  </si>
  <si>
    <t>Veterinary &amp; Health</t>
  </si>
  <si>
    <t>Interest on hired labor ($/ewe)</t>
  </si>
  <si>
    <t>Interest on operating expenses ($/ewe)</t>
  </si>
  <si>
    <t>Shearing</t>
  </si>
  <si>
    <t>Total interest on operating expenses</t>
  </si>
  <si>
    <t>Table I1. Interest on operating expenses</t>
  </si>
  <si>
    <t>Expense category:</t>
  </si>
  <si>
    <t>Interest for pasture</t>
  </si>
  <si>
    <t>Interest for hay</t>
  </si>
  <si>
    <t>Interest for dog feed</t>
  </si>
  <si>
    <t>Total interest for pasture, hay &amp; feed</t>
  </si>
  <si>
    <t>Interest for feed</t>
  </si>
  <si>
    <t>Interest for salt &amp; mineral</t>
  </si>
  <si>
    <t>Retained ewes:</t>
  </si>
  <si>
    <t>Total fixed costs</t>
  </si>
  <si>
    <t>Total costs</t>
  </si>
  <si>
    <t>Total cost ($/ewe)</t>
  </si>
  <si>
    <t>Federal cost share ($/year)</t>
  </si>
  <si>
    <t>Notes</t>
  </si>
  <si>
    <t>Wool from ewes</t>
  </si>
  <si>
    <t>Wool from rams</t>
  </si>
  <si>
    <t>Wool weight (lbs/ewe)</t>
  </si>
  <si>
    <t>Table R1. Animal and market parameters for a typical flock of range-based sheep for North Dakota</t>
  </si>
  <si>
    <t>Ewe bodyweight (lbs)</t>
  </si>
  <si>
    <t>Ram bodyweight (lbs)</t>
  </si>
  <si>
    <t>Table PF3. Interest for pasture, hay and feed</t>
  </si>
  <si>
    <t>Variable:</t>
  </si>
  <si>
    <t>Table VM2. Sources of veterinary and health costs for a typical flock of range-based sheep in North Dakota</t>
  </si>
  <si>
    <t>Interest rate for investment capital (%)</t>
  </si>
  <si>
    <t>Table B1. Parameters needed to calculate cost of breeding in a typical pasture based sheep operation in ND</t>
  </si>
  <si>
    <t>Table B2. Fixed and variable costs for breeding rams using in a typical pasture based sheep operation in ND</t>
  </si>
  <si>
    <t>Breeding life of rams (years)</t>
  </si>
  <si>
    <t>Table S1. Costs for shearing sheep for a typical pasture based commercial flock in North Dakota</t>
  </si>
  <si>
    <t>Table L1. Quantities and costs for hired and family labor for a commercial pasture-based sheep operation in North Dakota</t>
  </si>
  <si>
    <t>Table PDC1. Costs of predator control for a commercial pasture-based sheep operation in North Dakota</t>
  </si>
  <si>
    <t>Control items</t>
  </si>
  <si>
    <t>Cost of non-lethal control items ($/year)</t>
  </si>
  <si>
    <t>Total cost ($/year)</t>
  </si>
  <si>
    <t>Interest on predator control ($/ewe)</t>
  </si>
  <si>
    <t>Predator control</t>
  </si>
  <si>
    <t>Cost item</t>
  </si>
  <si>
    <t>Cost item:</t>
  </si>
  <si>
    <t>Other 2</t>
  </si>
  <si>
    <t>Other 3</t>
  </si>
  <si>
    <t>Table CRC2. Fuel, lube and repairs for machinery for a commercial sheep operation in North Dakota</t>
  </si>
  <si>
    <t>Table CRC1. Capital recovery expenses for machinery, equipment and retained ewes for a commercial sheep operation in North Dakota</t>
  </si>
  <si>
    <t>Utilities</t>
  </si>
  <si>
    <t>Table UTI1. Cost of utilities, taxes and insurance for a commercial pasture-based sheep operation in North Dakota</t>
  </si>
  <si>
    <t>Table UTI2. Cost of utilities, taxes and insurance for a commercial pasture-based sheep operation in North Dakota</t>
  </si>
  <si>
    <t>Fuel, lube, repairs and utilities</t>
  </si>
  <si>
    <t>NDSU projections</t>
  </si>
  <si>
    <t>Producer projections</t>
  </si>
  <si>
    <t>NDSU</t>
  </si>
  <si>
    <t>Producer</t>
  </si>
  <si>
    <t>Table M2. Sources of costs for marketing and transportation for a typical flock of range-based sheep in North Dakota</t>
  </si>
  <si>
    <t>wool prices are $0.90/lb in Bel Fourshe, SD, but transporation costs would be greater than value of the wool.</t>
  </si>
  <si>
    <t>Ending feeder lamb weight after shrink (lbs/lamb)</t>
  </si>
  <si>
    <t>Ending cull ewe weight after shrink (lbs/ewe)</t>
  </si>
  <si>
    <t>Ending cull ram weight after shrink (lbs/ram)</t>
  </si>
  <si>
    <t>Table R2. Parameters used to calculated shrunk weights for lambs, cull ewes and cull rams</t>
  </si>
  <si>
    <t>Table R3. Sources of revenue for a typical flock of range-based sheep in North Dakota</t>
  </si>
  <si>
    <t>Item:</t>
  </si>
  <si>
    <t>Value</t>
  </si>
  <si>
    <t>Total gross receipts</t>
  </si>
  <si>
    <t>Net return to management and overhead</t>
  </si>
  <si>
    <t>Machinery, equipment and vehicles</t>
  </si>
  <si>
    <t>Taxes and insurance</t>
  </si>
  <si>
    <t>Veterinarian and health</t>
  </si>
  <si>
    <t>PRF rainfall insurance</t>
  </si>
  <si>
    <t>Feed grain</t>
  </si>
  <si>
    <t>Marketing and hauling</t>
  </si>
  <si>
    <t>Predator control (non leathal)</t>
  </si>
  <si>
    <t>ALB checkoff</t>
  </si>
  <si>
    <t>Operator/family labor</t>
  </si>
  <si>
    <t>Hired labor</t>
  </si>
  <si>
    <t>Interest on operating capital</t>
  </si>
  <si>
    <t>value</t>
  </si>
  <si>
    <t>NDSU Projections</t>
  </si>
  <si>
    <t>Quantity of hay per day per ewes and rams (% BW)</t>
  </si>
  <si>
    <t>Quantity of hay per year (lbs/ewe/year)</t>
  </si>
  <si>
    <t>Quantity of feed for ewes (lbs/ewe/year)</t>
  </si>
  <si>
    <t>Quantity of feed for rams (lbs/ram/year)</t>
  </si>
  <si>
    <t>Quantity of feed for rams (lbs/ram/ewe/year)</t>
  </si>
  <si>
    <t>Quantity of hay per ram (lbs/ram/ewe/year)</t>
  </si>
  <si>
    <t>Quantity of hay (lbs/ewe/day)</t>
  </si>
  <si>
    <t>Quantity of hay for rams (lbs/ram/day)</t>
  </si>
  <si>
    <t>Quantity of hay needed per ram (lbs/ram/year)</t>
  </si>
  <si>
    <t>Quantity of feed per day for ewes and rams (% BW)</t>
  </si>
  <si>
    <t>Quantity of feed for ewes (lbs/ewe/day)</t>
  </si>
  <si>
    <t>Quantity of feed for rams (lbs/ram/day)</t>
  </si>
  <si>
    <t>Quantity of salt/mineral for ewes and rams (lbs/day)</t>
  </si>
  <si>
    <t>Quantity of salt/mineral for ewes (lbs/ewe/year)</t>
  </si>
  <si>
    <t>Quantity of salt/mineral for rams (lbs/ram/year)</t>
  </si>
  <si>
    <t>Quantity of salt/mineral for rams (lbs/ram/ewe/year)</t>
  </si>
  <si>
    <t>Hay for sheep</t>
  </si>
  <si>
    <t>cost to transport reduces wool price to zero</t>
  </si>
  <si>
    <t>Are we paying family labor monthly, or at the time feeder lambs are sold?</t>
  </si>
  <si>
    <t>Wool, unshorn pelt LDP ($/unshorn lamb)</t>
  </si>
  <si>
    <t>Wool, ungraded LDP for lambs ($/lb)</t>
  </si>
  <si>
    <t>Wool, undgraded LDP for cull ewes ($/lb)</t>
  </si>
  <si>
    <t>Wool, undraded LDP for cull rams ($/lb)</t>
  </si>
  <si>
    <t>LDP for unshorn pelt</t>
  </si>
  <si>
    <t>LDP for ungraded wool for lambs</t>
  </si>
  <si>
    <t>LDP for ungraded wool for ewes</t>
  </si>
  <si>
    <t>LDP for ungraded wool for rams</t>
  </si>
  <si>
    <t>Wool bags ($/ewe)</t>
  </si>
  <si>
    <t>Shearing ewes ($/ewe)</t>
  </si>
  <si>
    <t>Shearing rams ($/ewe)</t>
  </si>
  <si>
    <t>Wool bags (ewes/bag)</t>
  </si>
  <si>
    <t>Lunch ($/ewe)</t>
  </si>
  <si>
    <t>Premium for PRF insurance ($/acre)</t>
  </si>
  <si>
    <t>PRF insurance</t>
  </si>
  <si>
    <t>Interest for PRF insurance</t>
  </si>
  <si>
    <t>Wool, inluding loan deficiency payments</t>
  </si>
  <si>
    <t>Feeder lambs ($/lb)</t>
  </si>
  <si>
    <t>Price of grain-based feed ($/ton)</t>
  </si>
  <si>
    <t>Wool, market ($/lb)</t>
  </si>
  <si>
    <t>Dog food for three sheep dogs</t>
  </si>
  <si>
    <t xml:space="preserve"> </t>
  </si>
  <si>
    <t>Price of wool bags ($/bag for 50-bag bundle)</t>
  </si>
  <si>
    <t>add health on dogs.</t>
  </si>
  <si>
    <t>mileage</t>
  </si>
  <si>
    <t>intensive side only</t>
  </si>
  <si>
    <t>Internal parasite control (Cydectin) (Ewes)</t>
  </si>
  <si>
    <t>Internal parasite control (Cydectin) (Rams)</t>
  </si>
  <si>
    <t>External parasite control (Ivermectin)(Ewes)</t>
  </si>
  <si>
    <t>External parasite control (Ivermectin)(Rams)</t>
  </si>
  <si>
    <t>Cydectin injections</t>
  </si>
  <si>
    <t>CD&amp;T Booster</t>
  </si>
  <si>
    <t>Units</t>
  </si>
  <si>
    <t>Size of product (mL)</t>
  </si>
  <si>
    <t>Price ($/unit)</t>
  </si>
  <si>
    <t>Price ($/mL)</t>
  </si>
  <si>
    <t>Conversion (ml/lb BW)</t>
  </si>
  <si>
    <t>Table VM1. Price and cost assumptions for vet/med calculations</t>
  </si>
  <si>
    <t>Ivermectin drench</t>
  </si>
  <si>
    <t>Recommended dose (mL/ewe)</t>
  </si>
  <si>
    <t>Recommended dose (mL/ram)</t>
  </si>
  <si>
    <t>Recommended dose (mL/lamb)</t>
  </si>
  <si>
    <t>Number of doses per ewe per year</t>
  </si>
  <si>
    <t>Number of doses per ram per year</t>
  </si>
  <si>
    <t>Number of doses per lamb per year</t>
  </si>
  <si>
    <t>Cost ($/ewe)</t>
  </si>
  <si>
    <t>Cost ($/ram)</t>
  </si>
  <si>
    <t>Cost ($/lamb)</t>
  </si>
  <si>
    <t>Percent of flock that receives treatment (%)</t>
  </si>
  <si>
    <t>Total cost of treatment for ewes ($/ewe)</t>
  </si>
  <si>
    <t>Total cost of treatment for rams ($/ewe)</t>
  </si>
  <si>
    <t>Total cost of treatment for lambs ($/ewe)</t>
  </si>
  <si>
    <t>Internal parasite control (Cydectin) (Lambs)</t>
  </si>
  <si>
    <t>External parasite control (Ivermectin)(Lambs)</t>
  </si>
  <si>
    <t>Interest rate on operating capital (%)</t>
  </si>
  <si>
    <t>Bodyweigh (lbs/ewe)</t>
  </si>
  <si>
    <t>Bodyweigh (lbs/ram)</t>
  </si>
  <si>
    <t>Bodyweigh (lbs/lambs)</t>
  </si>
  <si>
    <t>Round trip miles to shear site (miles)</t>
  </si>
  <si>
    <t>Federal mileage rate ($/mile)</t>
  </si>
  <si>
    <t>IRS rate for 2026</t>
  </si>
  <si>
    <t>Setup fee based on milage ($)</t>
  </si>
  <si>
    <t>Lunch for shearers ($)</t>
  </si>
  <si>
    <t>Wage rate for hired labor ($/hour)</t>
  </si>
  <si>
    <t>Interest rate for operating capital (% APR)</t>
  </si>
  <si>
    <t>Wage rate for owners/family labor ($/hour)</t>
  </si>
  <si>
    <t>Price for shearing ($/ewe)</t>
  </si>
  <si>
    <t>Price for shearing ($/ram)</t>
  </si>
  <si>
    <t>Round trip distance to shear site (miles)</t>
  </si>
  <si>
    <t>Price/assumptions</t>
  </si>
  <si>
    <t>Table 1. Expected sources of revenue, production costs, and net returns for a commercial 250-head range-based sheep operation in North Dakota</t>
  </si>
  <si>
    <t>Gross revenue ($/hd)</t>
  </si>
  <si>
    <t>Total cost ($/hd)</t>
  </si>
  <si>
    <t>from the budget sheet</t>
  </si>
  <si>
    <t>Projections for essential prices, quantities and other assumptions used in the analysis</t>
  </si>
  <si>
    <t>Net return to management and overhead ($/hd)</t>
  </si>
  <si>
    <t>Treatment descriptions</t>
  </si>
  <si>
    <t>Core vaccines (DHPP and rabies)</t>
  </si>
  <si>
    <t>Bordetella/Kennel Cough</t>
  </si>
  <si>
    <t>Leptospirosis + snake</t>
  </si>
  <si>
    <t>Vet (physical exam)</t>
  </si>
  <si>
    <t>$/year</t>
  </si>
  <si>
    <t>Vaccines and healthcare for working dogs</t>
  </si>
  <si>
    <t>Total ($/dog)</t>
  </si>
  <si>
    <t>Working dog vaccinations/exam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</si>
</sst>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0.0%"/>
    <numFmt numFmtId="166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55">
    <xf numFmtId="0" fontId="0" fillId="0" borderId="0" xfId="0"/>
    <xf numFmtId="0" fontId="3" fillId="0" borderId="0" xfId="2" applyFont="1" applyFill="1" applyBorder="1"/>
    <xf numFmtId="0" fontId="3" fillId="0" borderId="0" xfId="2" applyFont="1" applyFill="1" applyBorder="1" applyAlignment="1">
      <alignment horizontal="left"/>
    </xf>
    <xf numFmtId="0" fontId="3" fillId="0" borderId="0" xfId="3" applyFont="1" applyFill="1" applyBorder="1" applyAlignment="1">
      <alignment horizontal="left"/>
    </xf>
    <xf numFmtId="0" fontId="4" fillId="0" borderId="0" xfId="2" applyFont="1" applyFill="1" applyBorder="1" applyAlignment="1">
      <alignment horizontal="left"/>
    </xf>
    <xf numFmtId="0" fontId="3" fillId="0" borderId="0" xfId="2" applyFont="1" applyFill="1" applyBorder="1" applyAlignment="1">
      <alignment horizontal="center"/>
    </xf>
    <xf numFmtId="2" fontId="3" fillId="0" borderId="0" xfId="2" applyNumberFormat="1" applyFont="1" applyFill="1" applyBorder="1" applyAlignment="1">
      <alignment horizontal="center"/>
    </xf>
    <xf numFmtId="1" fontId="3" fillId="0" borderId="0" xfId="2" applyNumberFormat="1" applyFont="1" applyFill="1" applyBorder="1" applyAlignment="1">
      <alignment horizontal="center"/>
    </xf>
    <xf numFmtId="1" fontId="3" fillId="0" borderId="0" xfId="3" applyNumberFormat="1" applyFont="1" applyFill="1" applyBorder="1" applyAlignment="1">
      <alignment horizontal="center"/>
    </xf>
    <xf numFmtId="1" fontId="3" fillId="0" borderId="0" xfId="5" applyNumberFormat="1" applyFont="1" applyFill="1" applyBorder="1" applyAlignment="1">
      <alignment horizontal="center"/>
    </xf>
    <xf numFmtId="9" fontId="3" fillId="0" borderId="0" xfId="1" applyFont="1" applyFill="1" applyBorder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9" fontId="3" fillId="0" borderId="0" xfId="1" applyNumberFormat="1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3" fontId="3" fillId="0" borderId="0" xfId="2" applyNumberFormat="1" applyFont="1" applyFill="1" applyBorder="1" applyAlignment="1">
      <alignment horizontal="center"/>
    </xf>
    <xf numFmtId="3" fontId="3" fillId="0" borderId="0" xfId="5" applyNumberFormat="1" applyFont="1" applyFill="1" applyBorder="1" applyAlignment="1">
      <alignment horizontal="center"/>
    </xf>
    <xf numFmtId="0" fontId="3" fillId="0" borderId="1" xfId="2" applyFont="1" applyFill="1" applyBorder="1"/>
    <xf numFmtId="0" fontId="3" fillId="0" borderId="1" xfId="2" applyFont="1" applyFill="1" applyBorder="1" applyAlignment="1">
      <alignment horizontal="center"/>
    </xf>
    <xf numFmtId="0" fontId="3" fillId="0" borderId="1" xfId="3" applyFont="1" applyFill="1" applyBorder="1" applyAlignment="1">
      <alignment horizontal="center"/>
    </xf>
    <xf numFmtId="3" fontId="3" fillId="0" borderId="1" xfId="5" applyNumberFormat="1" applyFont="1" applyFill="1" applyBorder="1" applyAlignment="1">
      <alignment horizontal="center"/>
    </xf>
    <xf numFmtId="0" fontId="3" fillId="0" borderId="1" xfId="2" applyFont="1" applyFill="1" applyBorder="1" applyAlignment="1">
      <alignment horizontal="left"/>
    </xf>
    <xf numFmtId="1" fontId="3" fillId="0" borderId="1" xfId="2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4" fontId="3" fillId="0" borderId="0" xfId="5" applyNumberFormat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 applyBorder="1"/>
    <xf numFmtId="0" fontId="3" fillId="0" borderId="0" xfId="0" applyFont="1" applyFill="1" applyBorder="1"/>
    <xf numFmtId="4" fontId="3" fillId="0" borderId="1" xfId="5" applyNumberFormat="1" applyFont="1" applyFill="1" applyBorder="1" applyAlignment="1">
      <alignment horizontal="center"/>
    </xf>
    <xf numFmtId="0" fontId="0" fillId="0" borderId="1" xfId="0" applyBorder="1" applyAlignment="1"/>
    <xf numFmtId="2" fontId="0" fillId="0" borderId="1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3" fillId="0" borderId="0" xfId="0" applyNumberFormat="1" applyFont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0" xfId="0" applyNumberFormat="1" applyFont="1" applyFill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3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5" fillId="3" borderId="0" xfId="0" applyFont="1" applyFill="1"/>
    <xf numFmtId="0" fontId="0" fillId="0" borderId="0" xfId="0" applyAlignment="1">
      <alignment horizontal="center"/>
    </xf>
    <xf numFmtId="0" fontId="3" fillId="2" borderId="0" xfId="2" applyFont="1" applyFill="1" applyBorder="1" applyAlignment="1">
      <alignment horizontal="center"/>
    </xf>
    <xf numFmtId="4" fontId="0" fillId="0" borderId="0" xfId="1" applyNumberFormat="1" applyFont="1" applyAlignment="1">
      <alignment horizontal="center"/>
    </xf>
    <xf numFmtId="0" fontId="3" fillId="2" borderId="0" xfId="0" applyFont="1" applyFill="1"/>
    <xf numFmtId="0" fontId="3" fillId="2" borderId="0" xfId="2" applyFont="1" applyFill="1" applyBorder="1"/>
    <xf numFmtId="0" fontId="0" fillId="0" borderId="0" xfId="0" applyFill="1" applyBorder="1"/>
    <xf numFmtId="2" fontId="0" fillId="0" borderId="0" xfId="1" applyNumberFormat="1" applyFont="1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9" fontId="0" fillId="0" borderId="0" xfId="1" applyFont="1" applyFill="1" applyAlignment="1">
      <alignment horizontal="center"/>
    </xf>
    <xf numFmtId="2" fontId="0" fillId="0" borderId="0" xfId="1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66" fontId="0" fillId="0" borderId="0" xfId="0" applyNumberFormat="1" applyFill="1" applyAlignment="1">
      <alignment horizontal="center"/>
    </xf>
    <xf numFmtId="0" fontId="0" fillId="0" borderId="0" xfId="0" applyFill="1"/>
    <xf numFmtId="0" fontId="5" fillId="0" borderId="0" xfId="0" applyFont="1" applyFill="1"/>
    <xf numFmtId="0" fontId="0" fillId="3" borderId="0" xfId="0" applyFill="1"/>
    <xf numFmtId="0" fontId="7" fillId="0" borderId="0" xfId="0" applyFont="1" applyFill="1" applyBorder="1"/>
    <xf numFmtId="0" fontId="7" fillId="0" borderId="0" xfId="2" applyFont="1" applyFill="1" applyBorder="1"/>
    <xf numFmtId="3" fontId="3" fillId="0" borderId="0" xfId="0" applyNumberFormat="1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center"/>
    </xf>
    <xf numFmtId="0" fontId="7" fillId="0" borderId="1" xfId="2" applyFont="1" applyFill="1" applyBorder="1"/>
    <xf numFmtId="4" fontId="3" fillId="0" borderId="1" xfId="2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3" fontId="0" fillId="2" borderId="0" xfId="0" applyNumberFormat="1" applyFill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2" fontId="0" fillId="0" borderId="0" xfId="1" applyNumberFormat="1" applyFont="1" applyBorder="1" applyAlignment="1">
      <alignment horizontal="center"/>
    </xf>
    <xf numFmtId="4" fontId="0" fillId="0" borderId="0" xfId="1" applyNumberFormat="1" applyFont="1" applyBorder="1" applyAlignment="1">
      <alignment horizontal="center"/>
    </xf>
    <xf numFmtId="0" fontId="0" fillId="0" borderId="1" xfId="0" applyFill="1" applyBorder="1"/>
    <xf numFmtId="3" fontId="0" fillId="0" borderId="1" xfId="0" applyNumberFormat="1" applyFill="1" applyBorder="1" applyAlignment="1">
      <alignment horizontal="center"/>
    </xf>
    <xf numFmtId="9" fontId="0" fillId="0" borderId="1" xfId="1" applyFont="1" applyFill="1" applyBorder="1" applyAlignment="1">
      <alignment horizontal="center"/>
    </xf>
    <xf numFmtId="2" fontId="0" fillId="0" borderId="1" xfId="1" applyNumberFormat="1" applyFont="1" applyFill="1" applyBorder="1" applyAlignment="1">
      <alignment horizontal="center"/>
    </xf>
    <xf numFmtId="4" fontId="0" fillId="0" borderId="1" xfId="1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4" borderId="0" xfId="2" applyFont="1" applyFill="1" applyBorder="1" applyAlignment="1">
      <alignment horizontal="center"/>
    </xf>
    <xf numFmtId="1" fontId="3" fillId="4" borderId="1" xfId="3" applyNumberFormat="1" applyFont="1" applyFill="1" applyBorder="1" applyAlignment="1">
      <alignment horizontal="center"/>
    </xf>
    <xf numFmtId="0" fontId="3" fillId="4" borderId="1" xfId="3" applyFont="1" applyFill="1" applyBorder="1" applyAlignment="1">
      <alignment horizontal="center"/>
    </xf>
    <xf numFmtId="0" fontId="3" fillId="4" borderId="1" xfId="2" applyFont="1" applyFill="1" applyBorder="1" applyAlignment="1">
      <alignment horizontal="center"/>
    </xf>
    <xf numFmtId="0" fontId="3" fillId="2" borderId="1" xfId="3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7" fillId="0" borderId="0" xfId="2" applyFont="1" applyFill="1" applyBorder="1" applyAlignment="1">
      <alignment horizontal="left" wrapText="1"/>
    </xf>
    <xf numFmtId="0" fontId="0" fillId="4" borderId="1" xfId="0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0" fontId="0" fillId="0" borderId="0" xfId="0" applyNumberForma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1" fontId="3" fillId="2" borderId="1" xfId="3" applyNumberFormat="1" applyFont="1" applyFill="1" applyBorder="1" applyAlignment="1">
      <alignment horizontal="center"/>
    </xf>
    <xf numFmtId="9" fontId="0" fillId="4" borderId="1" xfId="1" applyFont="1" applyFill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0" fillId="4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" fontId="0" fillId="2" borderId="1" xfId="0" applyNumberFormat="1" applyFill="1" applyBorder="1" applyAlignment="1">
      <alignment horizontal="center" wrapText="1"/>
    </xf>
    <xf numFmtId="4" fontId="0" fillId="0" borderId="0" xfId="0" applyNumberFormat="1" applyFill="1" applyAlignment="1">
      <alignment horizontal="center"/>
    </xf>
    <xf numFmtId="4" fontId="0" fillId="0" borderId="0" xfId="1" applyNumberFormat="1" applyFont="1" applyFill="1" applyAlignment="1">
      <alignment horizontal="center"/>
    </xf>
    <xf numFmtId="4" fontId="0" fillId="0" borderId="0" xfId="1" applyNumberFormat="1" applyFont="1" applyFill="1" applyBorder="1" applyAlignment="1">
      <alignment horizontal="center"/>
    </xf>
    <xf numFmtId="3" fontId="0" fillId="0" borderId="0" xfId="0" applyNumberFormat="1" applyFill="1" applyAlignment="1">
      <alignment horizontal="center"/>
    </xf>
    <xf numFmtId="3" fontId="0" fillId="0" borderId="0" xfId="0" applyNumberFormat="1" applyFill="1" applyBorder="1" applyAlignment="1">
      <alignment horizontal="center"/>
    </xf>
    <xf numFmtId="0" fontId="7" fillId="0" borderId="0" xfId="2" applyFont="1" applyFill="1" applyBorder="1" applyAlignment="1">
      <alignment horizontal="center"/>
    </xf>
    <xf numFmtId="0" fontId="7" fillId="0" borderId="0" xfId="2" applyFont="1" applyFill="1" applyBorder="1" applyAlignment="1">
      <alignment horizontal="left"/>
    </xf>
    <xf numFmtId="0" fontId="3" fillId="4" borderId="1" xfId="2" applyFont="1" applyFill="1" applyBorder="1" applyAlignment="1">
      <alignment horizontal="left"/>
    </xf>
    <xf numFmtId="9" fontId="3" fillId="0" borderId="0" xfId="1" applyFont="1" applyFill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0" xfId="0" applyNumberFormat="1" applyFill="1" applyAlignment="1">
      <alignment horizontal="center"/>
    </xf>
    <xf numFmtId="1" fontId="3" fillId="0" borderId="0" xfId="0" applyNumberFormat="1" applyFont="1" applyFill="1" applyAlignment="1">
      <alignment horizontal="center"/>
    </xf>
    <xf numFmtId="1" fontId="0" fillId="0" borderId="0" xfId="0" applyNumberFormat="1" applyFill="1" applyAlignment="1">
      <alignment horizontal="center"/>
    </xf>
    <xf numFmtId="0" fontId="5" fillId="0" borderId="0" xfId="0" applyFont="1" applyBorder="1" applyAlignment="1">
      <alignment horizontal="left"/>
    </xf>
    <xf numFmtId="4" fontId="3" fillId="0" borderId="0" xfId="0" applyNumberFormat="1" applyFont="1" applyFill="1" applyBorder="1"/>
    <xf numFmtId="0" fontId="0" fillId="0" borderId="0" xfId="0" applyFont="1"/>
    <xf numFmtId="0" fontId="0" fillId="0" borderId="0" xfId="0" applyFont="1" applyAlignment="1">
      <alignment horizontal="center"/>
    </xf>
    <xf numFmtId="0" fontId="0" fillId="4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0" fillId="0" borderId="1" xfId="0" applyFont="1" applyBorder="1"/>
    <xf numFmtId="0" fontId="0" fillId="4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Font="1" applyBorder="1"/>
    <xf numFmtId="1" fontId="0" fillId="0" borderId="0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3" fontId="0" fillId="0" borderId="1" xfId="0" applyNumberFormat="1" applyFont="1" applyFill="1" applyBorder="1" applyAlignment="1">
      <alignment horizontal="center"/>
    </xf>
    <xf numFmtId="1" fontId="0" fillId="0" borderId="0" xfId="0" applyNumberFormat="1" applyFont="1" applyFill="1" applyAlignment="1">
      <alignment horizontal="center"/>
    </xf>
    <xf numFmtId="4" fontId="0" fillId="0" borderId="1" xfId="0" applyNumberFormat="1" applyFont="1" applyFill="1" applyBorder="1" applyAlignment="1">
      <alignment horizontal="center"/>
    </xf>
    <xf numFmtId="2" fontId="0" fillId="0" borderId="0" xfId="0" applyNumberFormat="1" applyFont="1" applyFill="1" applyAlignment="1">
      <alignment horizontal="center"/>
    </xf>
    <xf numFmtId="164" fontId="0" fillId="0" borderId="0" xfId="0" applyNumberFormat="1" applyFont="1" applyFill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5" borderId="0" xfId="0" applyFont="1" applyFill="1"/>
    <xf numFmtId="0" fontId="0" fillId="0" borderId="0" xfId="3" applyFont="1" applyFill="1" applyBorder="1" applyAlignment="1">
      <alignment horizontal="left"/>
    </xf>
    <xf numFmtId="0" fontId="0" fillId="0" borderId="1" xfId="2" applyFont="1" applyFill="1" applyBorder="1"/>
    <xf numFmtId="0" fontId="0" fillId="4" borderId="1" xfId="3" applyFont="1" applyFill="1" applyBorder="1" applyAlignment="1">
      <alignment horizontal="center"/>
    </xf>
    <xf numFmtId="0" fontId="0" fillId="4" borderId="1" xfId="2" applyFont="1" applyFill="1" applyBorder="1" applyAlignment="1">
      <alignment horizontal="center"/>
    </xf>
    <xf numFmtId="0" fontId="0" fillId="2" borderId="1" xfId="3" applyFont="1" applyFill="1" applyBorder="1" applyAlignment="1">
      <alignment horizontal="center"/>
    </xf>
    <xf numFmtId="0" fontId="0" fillId="2" borderId="1" xfId="2" applyFont="1" applyFill="1" applyBorder="1" applyAlignment="1">
      <alignment horizontal="center"/>
    </xf>
    <xf numFmtId="0" fontId="0" fillId="0" borderId="0" xfId="2" applyFont="1" applyFill="1" applyBorder="1"/>
    <xf numFmtId="4" fontId="0" fillId="0" borderId="0" xfId="5" applyNumberFormat="1" applyFont="1" applyFill="1" applyBorder="1" applyAlignment="1">
      <alignment horizontal="center"/>
    </xf>
    <xf numFmtId="3" fontId="0" fillId="0" borderId="0" xfId="2" applyNumberFormat="1" applyFont="1" applyFill="1" applyBorder="1" applyAlignment="1">
      <alignment horizontal="center"/>
    </xf>
    <xf numFmtId="3" fontId="0" fillId="0" borderId="1" xfId="5" applyNumberFormat="1" applyFont="1" applyFill="1" applyBorder="1" applyAlignment="1">
      <alignment horizontal="center"/>
    </xf>
    <xf numFmtId="165" fontId="1" fillId="0" borderId="1" xfId="1" applyNumberFormat="1" applyFont="1" applyFill="1" applyBorder="1" applyAlignment="1">
      <alignment horizontal="center"/>
    </xf>
    <xf numFmtId="2" fontId="3" fillId="0" borderId="0" xfId="2" applyNumberFormat="1" applyFont="1" applyFill="1" applyBorder="1" applyAlignment="1">
      <alignment horizontal="left"/>
    </xf>
    <xf numFmtId="0" fontId="5" fillId="0" borderId="3" xfId="0" applyFont="1" applyFill="1" applyBorder="1" applyAlignment="1">
      <alignment horizontal="center"/>
    </xf>
    <xf numFmtId="9" fontId="5" fillId="0" borderId="3" xfId="1" applyFont="1" applyFill="1" applyBorder="1" applyAlignment="1">
      <alignment horizontal="center"/>
    </xf>
    <xf numFmtId="10" fontId="5" fillId="0" borderId="3" xfId="1" applyNumberFormat="1" applyFont="1" applyFill="1" applyBorder="1" applyAlignment="1">
      <alignment horizontal="center"/>
    </xf>
    <xf numFmtId="0" fontId="0" fillId="4" borderId="0" xfId="0" applyFont="1" applyFill="1" applyBorder="1" applyAlignment="1">
      <alignment horizontal="center"/>
    </xf>
    <xf numFmtId="165" fontId="5" fillId="0" borderId="3" xfId="1" applyNumberFormat="1" applyFont="1" applyFill="1" applyBorder="1" applyAlignment="1">
      <alignment horizontal="center"/>
    </xf>
    <xf numFmtId="1" fontId="7" fillId="0" borderId="3" xfId="0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0" fontId="0" fillId="2" borderId="0" xfId="0" applyFill="1" applyBorder="1" applyAlignment="1">
      <alignment horizontal="center" wrapText="1"/>
    </xf>
    <xf numFmtId="2" fontId="0" fillId="0" borderId="0" xfId="1" applyNumberFormat="1" applyFont="1" applyFill="1" applyBorder="1" applyAlignment="1">
      <alignment horizontal="center"/>
    </xf>
    <xf numFmtId="0" fontId="0" fillId="4" borderId="0" xfId="0" applyFill="1" applyBorder="1" applyAlignment="1">
      <alignment horizontal="center" wrapText="1"/>
    </xf>
    <xf numFmtId="3" fontId="5" fillId="0" borderId="3" xfId="0" applyNumberFormat="1" applyFont="1" applyFill="1" applyBorder="1" applyAlignment="1">
      <alignment horizontal="center"/>
    </xf>
    <xf numFmtId="9" fontId="5" fillId="0" borderId="3" xfId="0" applyNumberFormat="1" applyFont="1" applyFill="1" applyBorder="1" applyAlignment="1">
      <alignment horizontal="center"/>
    </xf>
    <xf numFmtId="4" fontId="1" fillId="0" borderId="1" xfId="1" applyNumberFormat="1" applyFont="1" applyFill="1" applyBorder="1" applyAlignment="1">
      <alignment horizontal="center"/>
    </xf>
    <xf numFmtId="1" fontId="5" fillId="0" borderId="3" xfId="0" applyNumberFormat="1" applyFont="1" applyFill="1" applyBorder="1" applyAlignment="1">
      <alignment horizontal="center"/>
    </xf>
    <xf numFmtId="9" fontId="7" fillId="0" borderId="3" xfId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9" fontId="1" fillId="0" borderId="0" xfId="1" applyFont="1" applyFill="1" applyBorder="1" applyAlignment="1">
      <alignment horizontal="center"/>
    </xf>
    <xf numFmtId="10" fontId="1" fillId="0" borderId="0" xfId="1" applyNumberFormat="1" applyFont="1" applyFill="1" applyBorder="1" applyAlignment="1">
      <alignment horizontal="center"/>
    </xf>
    <xf numFmtId="165" fontId="1" fillId="0" borderId="0" xfId="1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center"/>
    </xf>
    <xf numFmtId="9" fontId="0" fillId="0" borderId="0" xfId="0" applyNumberFormat="1" applyFont="1" applyFill="1" applyBorder="1" applyAlignment="1">
      <alignment horizontal="center"/>
    </xf>
    <xf numFmtId="0" fontId="0" fillId="4" borderId="4" xfId="0" applyFill="1" applyBorder="1" applyAlignment="1">
      <alignment horizontal="center" wrapText="1"/>
    </xf>
    <xf numFmtId="0" fontId="0" fillId="4" borderId="4" xfId="0" applyFill="1" applyBorder="1" applyAlignment="1">
      <alignment horizontal="center"/>
    </xf>
    <xf numFmtId="4" fontId="0" fillId="4" borderId="4" xfId="0" applyNumberFormat="1" applyFill="1" applyBorder="1" applyAlignment="1">
      <alignment horizontal="center" wrapText="1"/>
    </xf>
    <xf numFmtId="9" fontId="1" fillId="0" borderId="1" xfId="1" applyFont="1" applyFill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4" fontId="0" fillId="0" borderId="1" xfId="0" applyNumberFormat="1" applyFont="1" applyBorder="1" applyAlignment="1">
      <alignment horizontal="center"/>
    </xf>
    <xf numFmtId="166" fontId="0" fillId="0" borderId="0" xfId="0" applyNumberFormat="1" applyFont="1" applyFill="1" applyBorder="1" applyAlignment="1">
      <alignment horizontal="center"/>
    </xf>
    <xf numFmtId="2" fontId="1" fillId="0" borderId="0" xfId="1" applyNumberFormat="1" applyFont="1" applyFill="1" applyBorder="1" applyAlignment="1">
      <alignment horizontal="center"/>
    </xf>
    <xf numFmtId="4" fontId="7" fillId="0" borderId="1" xfId="0" applyNumberFormat="1" applyFont="1" applyFill="1" applyBorder="1" applyAlignment="1">
      <alignment horizontal="center"/>
    </xf>
    <xf numFmtId="3" fontId="7" fillId="0" borderId="1" xfId="0" applyNumberFormat="1" applyFont="1" applyFill="1" applyBorder="1" applyAlignment="1">
      <alignment horizontal="center"/>
    </xf>
    <xf numFmtId="4" fontId="7" fillId="0" borderId="0" xfId="0" applyNumberFormat="1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1" xfId="0" applyNumberFormat="1" applyBorder="1" applyAlignment="1">
      <alignment horizontal="center"/>
    </xf>
    <xf numFmtId="4" fontId="7" fillId="4" borderId="1" xfId="0" applyNumberFormat="1" applyFont="1" applyFill="1" applyBorder="1" applyAlignment="1">
      <alignment horizontal="center"/>
    </xf>
    <xf numFmtId="3" fontId="7" fillId="4" borderId="1" xfId="0" applyNumberFormat="1" applyFont="1" applyFill="1" applyBorder="1" applyAlignment="1">
      <alignment horizontal="center"/>
    </xf>
    <xf numFmtId="4" fontId="7" fillId="2" borderId="1" xfId="0" applyNumberFormat="1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Fill="1"/>
    <xf numFmtId="166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9" fontId="3" fillId="0" borderId="0" xfId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0" fillId="0" borderId="8" xfId="0" applyBorder="1" applyAlignment="1">
      <alignment horizontal="center"/>
    </xf>
    <xf numFmtId="3" fontId="0" fillId="0" borderId="7" xfId="0" applyNumberFormat="1" applyFill="1" applyBorder="1" applyAlignment="1">
      <alignment horizontal="center"/>
    </xf>
    <xf numFmtId="2" fontId="7" fillId="0" borderId="0" xfId="2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 applyProtection="1">
      <alignment horizontal="center"/>
    </xf>
    <xf numFmtId="1" fontId="3" fillId="0" borderId="0" xfId="0" applyNumberFormat="1" applyFont="1" applyFill="1" applyBorder="1" applyAlignment="1" applyProtection="1">
      <alignment horizontal="center"/>
    </xf>
    <xf numFmtId="10" fontId="3" fillId="0" borderId="1" xfId="1" applyNumberFormat="1" applyFont="1" applyFill="1" applyBorder="1" applyAlignment="1" applyProtection="1">
      <alignment horizontal="center"/>
    </xf>
    <xf numFmtId="0" fontId="0" fillId="0" borderId="0" xfId="0" applyProtection="1">
      <protection locked="0"/>
    </xf>
    <xf numFmtId="0" fontId="3" fillId="0" borderId="0" xfId="0" applyFont="1" applyFill="1" applyBorder="1" applyProtection="1"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4" borderId="0" xfId="0" applyFont="1" applyFill="1" applyBorder="1" applyProtection="1"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1" fontId="3" fillId="0" borderId="0" xfId="0" applyNumberFormat="1" applyFont="1" applyFill="1" applyBorder="1" applyAlignment="1" applyProtection="1">
      <alignment horizontal="center"/>
      <protection locked="0"/>
    </xf>
    <xf numFmtId="10" fontId="3" fillId="0" borderId="1" xfId="1" applyNumberFormat="1" applyFont="1" applyFill="1" applyBorder="1" applyAlignment="1" applyProtection="1">
      <alignment horizontal="center"/>
      <protection locked="0"/>
    </xf>
    <xf numFmtId="4" fontId="0" fillId="0" borderId="0" xfId="0" applyNumberFormat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left" wrapText="1"/>
      <protection locked="0"/>
    </xf>
    <xf numFmtId="0" fontId="7" fillId="0" borderId="1" xfId="2" applyFont="1" applyFill="1" applyBorder="1" applyAlignment="1">
      <alignment horizontal="left" wrapText="1"/>
    </xf>
    <xf numFmtId="4" fontId="7" fillId="4" borderId="0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0" fontId="7" fillId="0" borderId="0" xfId="2" applyFont="1" applyFill="1" applyBorder="1" applyAlignment="1">
      <alignment horizontal="left" wrapText="1"/>
    </xf>
    <xf numFmtId="0" fontId="3" fillId="4" borderId="0" xfId="3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1" xfId="2" applyFont="1" applyFill="1" applyBorder="1" applyAlignment="1">
      <alignment horizontal="left"/>
    </xf>
    <xf numFmtId="0" fontId="5" fillId="0" borderId="0" xfId="2" applyFont="1" applyFill="1" applyBorder="1" applyAlignment="1">
      <alignment horizontal="left" wrapText="1"/>
    </xf>
    <xf numFmtId="0" fontId="0" fillId="2" borderId="0" xfId="0" applyFont="1" applyFill="1" applyAlignment="1">
      <alignment horizontal="center"/>
    </xf>
    <xf numFmtId="1" fontId="0" fillId="4" borderId="0" xfId="2" applyNumberFormat="1" applyFont="1" applyFill="1" applyBorder="1" applyAlignment="1">
      <alignment horizontal="center"/>
    </xf>
    <xf numFmtId="1" fontId="3" fillId="4" borderId="2" xfId="2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left" wrapText="1"/>
    </xf>
    <xf numFmtId="1" fontId="3" fillId="4" borderId="0" xfId="2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5" fillId="0" borderId="1" xfId="0" applyFont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6">
    <cellStyle name="Comma 2" xfId="5" xr:uid="{874E29DB-5BF9-44DF-B0E6-73FF6F4C394C}"/>
    <cellStyle name="Normal" xfId="0" builtinId="0"/>
    <cellStyle name="Normal 2" xfId="2" xr:uid="{B2C8160F-29B7-4F14-9500-A8DD594FDA51}"/>
    <cellStyle name="Normal 2 2" xfId="3" xr:uid="{A93AB136-68F1-4AEE-AB8E-0AA2FDF2318C}"/>
    <cellStyle name="Percent" xfId="1" builtinId="5"/>
    <cellStyle name="Percent 2" xfId="4" xr:uid="{756F8032-5FAA-42A1-8C4F-104D5BAB1F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DE2AD-1DC8-42C2-98D7-9A936F499B0B}">
  <dimension ref="A1:D20"/>
  <sheetViews>
    <sheetView tabSelected="1" workbookViewId="0">
      <selection activeCell="F7" sqref="F7"/>
    </sheetView>
  </sheetViews>
  <sheetFormatPr defaultRowHeight="14.5" x14ac:dyDescent="0.35"/>
  <cols>
    <col min="1" max="1" width="43.26953125" style="220" customWidth="1"/>
    <col min="2" max="2" width="6.81640625" style="220" bestFit="1" customWidth="1"/>
    <col min="3" max="3" width="8.90625" style="220" bestFit="1" customWidth="1"/>
    <col min="4" max="16384" width="8.7265625" style="220"/>
  </cols>
  <sheetData>
    <row r="1" spans="1:3" ht="30" customHeight="1" x14ac:dyDescent="0.35">
      <c r="A1" s="232" t="s">
        <v>343</v>
      </c>
      <c r="B1" s="232"/>
      <c r="C1" s="232"/>
    </row>
    <row r="2" spans="1:3" ht="15.5" x14ac:dyDescent="0.35">
      <c r="A2" s="221"/>
      <c r="B2" s="221"/>
      <c r="C2" s="222"/>
    </row>
    <row r="3" spans="1:3" ht="15.5" x14ac:dyDescent="0.35">
      <c r="A3" s="221"/>
      <c r="B3" s="223" t="s">
        <v>224</v>
      </c>
      <c r="C3" s="224" t="s">
        <v>225</v>
      </c>
    </row>
    <row r="4" spans="1:3" ht="15.5" x14ac:dyDescent="0.35">
      <c r="A4" s="225" t="s">
        <v>338</v>
      </c>
      <c r="B4" s="226" t="s">
        <v>32</v>
      </c>
      <c r="C4" s="227" t="s">
        <v>32</v>
      </c>
    </row>
    <row r="5" spans="1:3" ht="15.5" x14ac:dyDescent="0.35">
      <c r="A5" s="221" t="s">
        <v>286</v>
      </c>
      <c r="B5" s="217">
        <v>3</v>
      </c>
      <c r="C5" s="228">
        <v>3.1</v>
      </c>
    </row>
    <row r="6" spans="1:3" ht="15.5" x14ac:dyDescent="0.35">
      <c r="A6" s="221" t="s">
        <v>288</v>
      </c>
      <c r="B6" s="217">
        <v>0</v>
      </c>
      <c r="C6" s="228">
        <v>0</v>
      </c>
    </row>
    <row r="7" spans="1:3" ht="15.5" x14ac:dyDescent="0.35">
      <c r="A7" s="221" t="s">
        <v>35</v>
      </c>
      <c r="B7" s="217">
        <v>30</v>
      </c>
      <c r="C7" s="228">
        <v>30</v>
      </c>
    </row>
    <row r="8" spans="1:3" ht="15.5" x14ac:dyDescent="0.35">
      <c r="A8" s="221" t="s">
        <v>42</v>
      </c>
      <c r="B8" s="217">
        <v>80</v>
      </c>
      <c r="C8" s="228">
        <v>60</v>
      </c>
    </row>
    <row r="9" spans="1:3" ht="15.5" x14ac:dyDescent="0.35">
      <c r="A9" s="221" t="s">
        <v>287</v>
      </c>
      <c r="B9" s="217">
        <v>150</v>
      </c>
      <c r="C9" s="228">
        <v>145</v>
      </c>
    </row>
    <row r="10" spans="1:3" ht="15.5" x14ac:dyDescent="0.35">
      <c r="A10" s="221" t="s">
        <v>73</v>
      </c>
      <c r="B10" s="218">
        <v>50</v>
      </c>
      <c r="C10" s="229">
        <v>35</v>
      </c>
    </row>
    <row r="11" spans="1:3" ht="15.5" x14ac:dyDescent="0.35">
      <c r="A11" s="221" t="s">
        <v>335</v>
      </c>
      <c r="B11" s="218">
        <v>8</v>
      </c>
      <c r="C11" s="229">
        <v>6</v>
      </c>
    </row>
    <row r="12" spans="1:3" ht="15.5" x14ac:dyDescent="0.35">
      <c r="A12" s="221" t="s">
        <v>336</v>
      </c>
      <c r="B12" s="218">
        <v>12</v>
      </c>
      <c r="C12" s="229">
        <v>10</v>
      </c>
    </row>
    <row r="13" spans="1:3" ht="15.5" x14ac:dyDescent="0.35">
      <c r="A13" s="221" t="s">
        <v>337</v>
      </c>
      <c r="B13" s="218">
        <v>300</v>
      </c>
      <c r="C13" s="229">
        <v>250</v>
      </c>
    </row>
    <row r="14" spans="1:3" ht="15.5" x14ac:dyDescent="0.35">
      <c r="A14" s="221" t="s">
        <v>332</v>
      </c>
      <c r="B14" s="217">
        <v>25</v>
      </c>
      <c r="C14" s="228">
        <v>20</v>
      </c>
    </row>
    <row r="15" spans="1:3" ht="15.5" x14ac:dyDescent="0.35">
      <c r="A15" s="221" t="s">
        <v>334</v>
      </c>
      <c r="B15" s="217">
        <v>25</v>
      </c>
      <c r="C15" s="228">
        <v>25</v>
      </c>
    </row>
    <row r="16" spans="1:3" ht="15.5" x14ac:dyDescent="0.35">
      <c r="A16" s="225" t="s">
        <v>333</v>
      </c>
      <c r="B16" s="219">
        <v>6.5000000000000002E-2</v>
      </c>
      <c r="C16" s="230">
        <v>6.5000000000000002E-2</v>
      </c>
    </row>
    <row r="18" spans="1:4" x14ac:dyDescent="0.35">
      <c r="A18" s="220" t="s">
        <v>340</v>
      </c>
      <c r="B18" s="231">
        <f>'Detailed Budget'!B9</f>
        <v>294.89529800000003</v>
      </c>
      <c r="C18" s="231">
        <f>'Detailed Budget'!D9</f>
        <v>303.89529800000003</v>
      </c>
      <c r="D18" s="220" t="s">
        <v>342</v>
      </c>
    </row>
    <row r="19" spans="1:4" x14ac:dyDescent="0.35">
      <c r="A19" s="220" t="s">
        <v>341</v>
      </c>
      <c r="B19" s="231">
        <f>'Detailed Budget'!B36</f>
        <v>263.61073721090435</v>
      </c>
      <c r="C19" s="231">
        <f>'Detailed Budget'!D36</f>
        <v>249.11657943065322</v>
      </c>
      <c r="D19" s="220" t="s">
        <v>342</v>
      </c>
    </row>
    <row r="20" spans="1:4" x14ac:dyDescent="0.35">
      <c r="A20" s="220" t="s">
        <v>344</v>
      </c>
      <c r="B20" s="231">
        <f>'Detailed Budget'!B38</f>
        <v>31.284560789095679</v>
      </c>
      <c r="C20" s="231">
        <f>'Detailed Budget'!D38</f>
        <v>54.778718569346807</v>
      </c>
      <c r="D20" s="220" t="s">
        <v>342</v>
      </c>
    </row>
  </sheetData>
  <sheetProtection algorithmName="SHA-512" hashValue="4yZS+OSrCdrBA081H+hmHZfbj5X+tXyLA87Ax2s1Cd5070OgR57EoVnulkkYOCRx3yHd9wiXs6CBJGy144TG5w==" saltValue="ASQKAGjP/YblIPfPcWmFUQ==" spinCount="100000" sheet="1" objects="1" scenarios="1" selectLockedCells="1"/>
  <protectedRanges>
    <protectedRange algorithmName="SHA-512" hashValue="f6qTIdeuJNfPx3Q8VMyZV+qV6yLgI+8yPhxQIYyFoSIzmWZZdvL1tZ5g2z/U5VJKR2rAXoW8X4/71gkfypRvIQ==" saltValue="O1L55DvCvMJZmzas0TkcZw==" spinCount="100000" sqref="C7" name="Range3"/>
    <protectedRange algorithmName="SHA-512" hashValue="K7zB9UzJLw+hmCzLXiweXhHt5/wGjRQFCw/VHjFJxy79Umo6lqFn+53nrgfjJ49LaqEntzAYn8p8zAX4ly8V9Q==" saltValue="+9ndNSEAm+/bHYlF1GzoPA==" spinCount="100000" sqref="C6" name="Range2"/>
    <protectedRange algorithmName="SHA-512" hashValue="lqGRhRfKSAJLHlySGL0JhEB/RbOhPHehcbtNKKoDbX3zhWx4JeFv95ZNUo+/jxdxy+MxNJo1j2jajKkHIIaUUg==" saltValue="zvx+ZEf8uYHvZSaxLWnTRw==" spinCount="100000" sqref="C5" name="Range1"/>
  </protectedRanges>
  <mergeCells count="1">
    <mergeCell ref="A1:C1"/>
  </mergeCells>
  <pageMargins left="0.7" right="0.7" top="0.75" bottom="0.75" header="0.3" footer="0.3"/>
  <ignoredErrors>
    <ignoredError sqref="B18:C20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6C07A-A687-40BE-9F81-3BCD90174410}">
  <dimension ref="A1:AC23"/>
  <sheetViews>
    <sheetView workbookViewId="0">
      <selection activeCell="B5" sqref="B5"/>
    </sheetView>
  </sheetViews>
  <sheetFormatPr defaultRowHeight="14.5" x14ac:dyDescent="0.35"/>
  <cols>
    <col min="1" max="1" width="36.1796875" bestFit="1" customWidth="1"/>
    <col min="2" max="3" width="8.7265625" style="23"/>
    <col min="4" max="4" width="8.7265625" style="23" bestFit="1" customWidth="1"/>
    <col min="5" max="5" width="9.36328125" style="39" customWidth="1"/>
    <col min="6" max="7" width="8.7265625" style="39" bestFit="1" customWidth="1"/>
    <col min="8" max="8" width="11.453125" style="39" bestFit="1" customWidth="1"/>
    <col min="9" max="9" width="7.6328125" style="39" bestFit="1" customWidth="1"/>
    <col min="10" max="10" width="7.90625" style="39" bestFit="1" customWidth="1"/>
    <col min="11" max="12" width="7.36328125" style="39" bestFit="1" customWidth="1"/>
    <col min="13" max="13" width="8" style="43" bestFit="1" customWidth="1"/>
    <col min="14" max="14" width="7.6328125" style="85" bestFit="1" customWidth="1"/>
    <col min="15" max="15" width="8" style="85" bestFit="1" customWidth="1"/>
    <col min="16" max="16" width="7.6328125" style="85" bestFit="1" customWidth="1"/>
    <col min="17" max="17" width="6.54296875" style="85" bestFit="1" customWidth="1"/>
    <col min="18" max="18" width="7" style="85" bestFit="1" customWidth="1"/>
    <col min="19" max="19" width="7.6328125" style="85" bestFit="1" customWidth="1"/>
    <col min="20" max="20" width="11.453125" style="85" bestFit="1" customWidth="1"/>
    <col min="21" max="21" width="7.6328125" style="85" bestFit="1" customWidth="1"/>
    <col min="22" max="22" width="7.90625" style="85" bestFit="1" customWidth="1"/>
    <col min="23" max="24" width="7.36328125" style="85" bestFit="1" customWidth="1"/>
    <col min="25" max="25" width="8" style="43" bestFit="1" customWidth="1"/>
    <col min="26" max="26" width="8.7265625" style="23"/>
    <col min="28" max="28" width="13.08984375" bestFit="1" customWidth="1"/>
  </cols>
  <sheetData>
    <row r="1" spans="1:29" x14ac:dyDescent="0.35">
      <c r="A1" s="252" t="s">
        <v>217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</row>
    <row r="3" spans="1:29" x14ac:dyDescent="0.35">
      <c r="B3" s="253" t="s">
        <v>249</v>
      </c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4" t="s">
        <v>223</v>
      </c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85"/>
    </row>
    <row r="4" spans="1:29" ht="44" customHeight="1" thickBot="1" x14ac:dyDescent="0.4">
      <c r="A4" s="24" t="s">
        <v>111</v>
      </c>
      <c r="B4" s="181" t="s">
        <v>146</v>
      </c>
      <c r="C4" s="182" t="s">
        <v>21</v>
      </c>
      <c r="D4" s="181" t="s">
        <v>147</v>
      </c>
      <c r="E4" s="181" t="s">
        <v>138</v>
      </c>
      <c r="F4" s="181" t="s">
        <v>141</v>
      </c>
      <c r="G4" s="181" t="s">
        <v>139</v>
      </c>
      <c r="H4" s="181" t="s">
        <v>140</v>
      </c>
      <c r="I4" s="181" t="s">
        <v>142</v>
      </c>
      <c r="J4" s="181" t="s">
        <v>148</v>
      </c>
      <c r="K4" s="181" t="s">
        <v>110</v>
      </c>
      <c r="L4" s="181" t="s">
        <v>143</v>
      </c>
      <c r="M4" s="183" t="s">
        <v>144</v>
      </c>
      <c r="N4" s="107" t="s">
        <v>146</v>
      </c>
      <c r="O4" s="58" t="s">
        <v>21</v>
      </c>
      <c r="P4" s="107" t="s">
        <v>147</v>
      </c>
      <c r="Q4" s="161" t="s">
        <v>138</v>
      </c>
      <c r="R4" s="161" t="s">
        <v>141</v>
      </c>
      <c r="S4" s="107" t="s">
        <v>139</v>
      </c>
      <c r="T4" s="107" t="s">
        <v>140</v>
      </c>
      <c r="U4" s="107" t="s">
        <v>142</v>
      </c>
      <c r="V4" s="161" t="s">
        <v>148</v>
      </c>
      <c r="W4" s="107" t="s">
        <v>110</v>
      </c>
      <c r="X4" s="107" t="s">
        <v>143</v>
      </c>
      <c r="Y4" s="108" t="s">
        <v>144</v>
      </c>
    </row>
    <row r="5" spans="1:29" ht="15" thickBot="1" x14ac:dyDescent="0.4">
      <c r="A5" t="s">
        <v>100</v>
      </c>
      <c r="B5" s="179">
        <v>60000</v>
      </c>
      <c r="C5" s="179">
        <v>1</v>
      </c>
      <c r="D5" s="42">
        <f t="shared" ref="D5:D9" si="0">B5*C5</f>
        <v>60000</v>
      </c>
      <c r="E5" s="179">
        <v>7</v>
      </c>
      <c r="F5" s="180">
        <v>0.3</v>
      </c>
      <c r="G5" s="42">
        <f>F5*D5</f>
        <v>18000</v>
      </c>
      <c r="H5" s="42">
        <f>(D5-G5)/E5</f>
        <v>6000</v>
      </c>
      <c r="I5" s="42">
        <f>IF(G5&gt;0,Breeding!$F$4*((D5-G5)/2),Breeding!$F$4*D5)</f>
        <v>1575</v>
      </c>
      <c r="J5" s="173">
        <v>0.25</v>
      </c>
      <c r="K5" s="56">
        <f>(J5*H5)/Revenue!$B$5</f>
        <v>6</v>
      </c>
      <c r="L5" s="52">
        <f>(I5*J5)/Revenue!$B$5</f>
        <v>1.575</v>
      </c>
      <c r="M5" s="52">
        <f>K5+L5</f>
        <v>7.5750000000000002</v>
      </c>
      <c r="N5" s="179">
        <v>60000</v>
      </c>
      <c r="O5" s="164">
        <v>1</v>
      </c>
      <c r="P5" s="112">
        <f>N5*O5</f>
        <v>60000</v>
      </c>
      <c r="Q5" s="164">
        <v>7</v>
      </c>
      <c r="R5" s="165">
        <v>0.3</v>
      </c>
      <c r="S5" s="112">
        <f>R5*P5</f>
        <v>18000</v>
      </c>
      <c r="T5" s="112">
        <f>(P5-S5)/Q5</f>
        <v>6000</v>
      </c>
      <c r="U5" s="112">
        <f>IF(S5&gt;0,Breeding!$H$4*((D5-G5)/2),Breeding!$H$4*D5)</f>
        <v>1575</v>
      </c>
      <c r="V5" s="154">
        <v>0.25</v>
      </c>
      <c r="W5" s="60">
        <f>(V5*T5)/Revenue!$C$5</f>
        <v>6</v>
      </c>
      <c r="X5" s="110">
        <f>(U5*V5)/Revenue!$C$5</f>
        <v>1.575</v>
      </c>
      <c r="Y5" s="110">
        <f>W5+X5</f>
        <v>7.5750000000000002</v>
      </c>
      <c r="AB5" s="42"/>
      <c r="AC5" s="42"/>
    </row>
    <row r="6" spans="1:29" ht="15" thickBot="1" x14ac:dyDescent="0.4">
      <c r="A6" t="s">
        <v>137</v>
      </c>
      <c r="B6" s="179">
        <v>15000</v>
      </c>
      <c r="C6" s="179">
        <v>1</v>
      </c>
      <c r="D6" s="42">
        <f t="shared" si="0"/>
        <v>15000</v>
      </c>
      <c r="E6" s="179">
        <v>7</v>
      </c>
      <c r="F6" s="180">
        <v>0.3</v>
      </c>
      <c r="G6" s="42">
        <f>F6*D6</f>
        <v>4500</v>
      </c>
      <c r="H6" s="42">
        <f>(D6-G6)/E6</f>
        <v>1500</v>
      </c>
      <c r="I6" s="42">
        <f>IF(G6&gt;0,Breeding!$F$4*((D6-G6)/2),Breeding!$F$4*D6)</f>
        <v>393.75</v>
      </c>
      <c r="J6" s="173">
        <v>0.25</v>
      </c>
      <c r="K6" s="56">
        <f>(J6*H6)/Revenue!$B$5</f>
        <v>1.5</v>
      </c>
      <c r="L6" s="52">
        <f>(I6*J6)/Revenue!$B$5</f>
        <v>0.39374999999999999</v>
      </c>
      <c r="M6" s="52">
        <f>K6+L6</f>
        <v>1.89375</v>
      </c>
      <c r="N6" s="112">
        <v>15000</v>
      </c>
      <c r="O6" s="164">
        <v>1</v>
      </c>
      <c r="P6" s="112">
        <f t="shared" ref="P6:P9" si="1">N6*O6</f>
        <v>15000</v>
      </c>
      <c r="Q6" s="164">
        <v>7</v>
      </c>
      <c r="R6" s="165">
        <v>0.3</v>
      </c>
      <c r="S6" s="112">
        <f>R6*P6</f>
        <v>4500</v>
      </c>
      <c r="T6" s="112">
        <f>(P6-S6)/Q6</f>
        <v>1500</v>
      </c>
      <c r="U6" s="112">
        <f>IF(S6&gt;0,Breeding!$H$4*((D6-G6)/2),Breeding!$H$4*D6)</f>
        <v>393.75</v>
      </c>
      <c r="V6" s="154">
        <v>0.25</v>
      </c>
      <c r="W6" s="60">
        <f>(V6*T6)/Revenue!$C$5</f>
        <v>1.5</v>
      </c>
      <c r="X6" s="110">
        <f>(U6*V6)/Revenue!$C$5</f>
        <v>0.39374999999999999</v>
      </c>
      <c r="Y6" s="110">
        <f>W6+X6</f>
        <v>1.89375</v>
      </c>
    </row>
    <row r="7" spans="1:29" ht="15" thickBot="1" x14ac:dyDescent="0.4">
      <c r="A7" t="s">
        <v>99</v>
      </c>
      <c r="B7" s="179">
        <v>50000</v>
      </c>
      <c r="C7" s="179">
        <v>1</v>
      </c>
      <c r="D7" s="42">
        <f t="shared" si="0"/>
        <v>50000</v>
      </c>
      <c r="E7" s="179">
        <v>7</v>
      </c>
      <c r="F7" s="180">
        <v>0.3</v>
      </c>
      <c r="G7" s="42">
        <f>F7*D7</f>
        <v>15000</v>
      </c>
      <c r="H7" s="42">
        <f>(D7-G7)/E7</f>
        <v>5000</v>
      </c>
      <c r="I7" s="42">
        <f>IF(G7&gt;0,Breeding!$F$4*((D7-G7)/2),Breeding!$F$4*D7)</f>
        <v>1312.5</v>
      </c>
      <c r="J7" s="173">
        <v>0.25</v>
      </c>
      <c r="K7" s="56">
        <f>(J7*H7)/Revenue!$B$5</f>
        <v>5</v>
      </c>
      <c r="L7" s="52">
        <f>(I7*J7)/Revenue!$B$5</f>
        <v>1.3125</v>
      </c>
      <c r="M7" s="52">
        <f>K7+L7</f>
        <v>6.3125</v>
      </c>
      <c r="N7" s="112">
        <v>50000</v>
      </c>
      <c r="O7" s="164">
        <v>1</v>
      </c>
      <c r="P7" s="112">
        <f t="shared" si="1"/>
        <v>50000</v>
      </c>
      <c r="Q7" s="164">
        <v>7</v>
      </c>
      <c r="R7" s="165">
        <v>0.3</v>
      </c>
      <c r="S7" s="112">
        <f>R7*P7</f>
        <v>15000</v>
      </c>
      <c r="T7" s="112">
        <f>(P7-S7)/Q7</f>
        <v>5000</v>
      </c>
      <c r="U7" s="112">
        <f>IF(S7&gt;0,Breeding!$H$4*((D7-G7)/2),Breeding!$H$4*D7)</f>
        <v>1312.5</v>
      </c>
      <c r="V7" s="154">
        <v>0.25</v>
      </c>
      <c r="W7" s="60">
        <f>(V7*T7)/Revenue!$C$5</f>
        <v>5</v>
      </c>
      <c r="X7" s="110">
        <f>(U7*V7)/Revenue!$C$5</f>
        <v>1.3125</v>
      </c>
      <c r="Y7" s="110">
        <f>W7+X7</f>
        <v>6.3125</v>
      </c>
    </row>
    <row r="8" spans="1:29" ht="15" thickBot="1" x14ac:dyDescent="0.4">
      <c r="A8" t="s">
        <v>101</v>
      </c>
      <c r="B8" s="179">
        <v>500</v>
      </c>
      <c r="C8" s="179">
        <v>8</v>
      </c>
      <c r="D8" s="42">
        <f t="shared" si="0"/>
        <v>4000</v>
      </c>
      <c r="E8" s="179">
        <v>7</v>
      </c>
      <c r="F8" s="180">
        <v>0</v>
      </c>
      <c r="G8" s="42">
        <f>F8*D8</f>
        <v>0</v>
      </c>
      <c r="H8" s="42">
        <f>(D8-G8)/E8</f>
        <v>571.42857142857144</v>
      </c>
      <c r="I8" s="42">
        <f>IF(G8&gt;0,Breeding!$F$4*((D8-G8)/2),Breeding!$F$4*D8)</f>
        <v>300</v>
      </c>
      <c r="J8" s="173">
        <v>1</v>
      </c>
      <c r="K8" s="56">
        <f>(J8*H8)/Revenue!$B$5</f>
        <v>2.2857142857142856</v>
      </c>
      <c r="L8" s="52">
        <f>(I8*J8)/Revenue!$B$5</f>
        <v>1.2</v>
      </c>
      <c r="M8" s="52">
        <f>K8+L8</f>
        <v>3.4857142857142858</v>
      </c>
      <c r="N8" s="112">
        <v>500</v>
      </c>
      <c r="O8" s="164">
        <v>8</v>
      </c>
      <c r="P8" s="112">
        <f t="shared" si="1"/>
        <v>4000</v>
      </c>
      <c r="Q8" s="164">
        <v>7</v>
      </c>
      <c r="R8" s="165">
        <v>0</v>
      </c>
      <c r="S8" s="112">
        <f>R8*P8</f>
        <v>0</v>
      </c>
      <c r="T8" s="112">
        <f>(P8-S8)/Q8</f>
        <v>571.42857142857144</v>
      </c>
      <c r="U8" s="112">
        <f>IF(S8&gt;0,Breeding!$H$4*((D8-G8)/2),Breeding!$H$4*D8)</f>
        <v>300</v>
      </c>
      <c r="V8" s="154">
        <v>1</v>
      </c>
      <c r="W8" s="60">
        <f>(V8*T8)/Revenue!$C$5</f>
        <v>2.2857142857142856</v>
      </c>
      <c r="X8" s="110">
        <f>(U8*V8)/Revenue!$C$5</f>
        <v>1.2</v>
      </c>
      <c r="Y8" s="110">
        <f>W8+X8</f>
        <v>3.4857142857142858</v>
      </c>
    </row>
    <row r="9" spans="1:29" ht="15" thickBot="1" x14ac:dyDescent="0.4">
      <c r="A9" s="26" t="s">
        <v>102</v>
      </c>
      <c r="B9" s="179">
        <v>1000</v>
      </c>
      <c r="C9" s="179">
        <v>3</v>
      </c>
      <c r="D9" s="75">
        <f t="shared" si="0"/>
        <v>3000</v>
      </c>
      <c r="E9" s="179">
        <v>7</v>
      </c>
      <c r="F9" s="180">
        <v>0</v>
      </c>
      <c r="G9" s="75">
        <f>F9*D9</f>
        <v>0</v>
      </c>
      <c r="H9" s="75">
        <f>(D9-G9)/E9</f>
        <v>428.57142857142856</v>
      </c>
      <c r="I9" s="42">
        <f>IF(G9&gt;0,Breeding!$F$4*((D9-G9)/2),Breeding!$F$4*D9)</f>
        <v>225</v>
      </c>
      <c r="J9" s="173">
        <v>1</v>
      </c>
      <c r="K9" s="76">
        <f>(J9*H9)/Revenue!$B$5</f>
        <v>1.7142857142857142</v>
      </c>
      <c r="L9" s="77">
        <f>(I9*J9)/Revenue!$B$5</f>
        <v>0.9</v>
      </c>
      <c r="M9" s="77">
        <f>K9+L9</f>
        <v>2.6142857142857143</v>
      </c>
      <c r="N9" s="113">
        <v>1000</v>
      </c>
      <c r="O9" s="164">
        <v>3</v>
      </c>
      <c r="P9" s="112">
        <f t="shared" si="1"/>
        <v>3000</v>
      </c>
      <c r="Q9" s="164">
        <v>7</v>
      </c>
      <c r="R9" s="165">
        <v>0</v>
      </c>
      <c r="S9" s="113">
        <f>R9*P9</f>
        <v>0</v>
      </c>
      <c r="T9" s="113">
        <f>(P9-S9)/Q9</f>
        <v>428.57142857142856</v>
      </c>
      <c r="U9" s="112">
        <f>IF(S9&gt;0,Breeding!$H$4*((D9-G9)/2),Breeding!$H$4*D9)</f>
        <v>225</v>
      </c>
      <c r="V9" s="154">
        <v>1</v>
      </c>
      <c r="W9" s="162">
        <f>(V9*T9)/Revenue!$C$5</f>
        <v>1.7142857142857142</v>
      </c>
      <c r="X9" s="111">
        <f>(U9*V9)/Revenue!$C$5</f>
        <v>0.9</v>
      </c>
      <c r="Y9" s="111">
        <f>W9+X9</f>
        <v>2.6142857142857143</v>
      </c>
    </row>
    <row r="10" spans="1:29" x14ac:dyDescent="0.35">
      <c r="A10" s="78" t="s">
        <v>145</v>
      </c>
      <c r="B10" s="44">
        <f>SUM(B5:B9)</f>
        <v>126500</v>
      </c>
      <c r="C10" s="44" t="s">
        <v>106</v>
      </c>
      <c r="D10" s="44">
        <f>SUM(D5:D9)</f>
        <v>132000</v>
      </c>
      <c r="E10" s="44" t="s">
        <v>106</v>
      </c>
      <c r="F10" s="44" t="s">
        <v>106</v>
      </c>
      <c r="G10" s="44">
        <f>SUM(G5:G9)</f>
        <v>37500</v>
      </c>
      <c r="H10" s="44">
        <f>SUM(H5:H9)</f>
        <v>13500</v>
      </c>
      <c r="I10" s="44">
        <f>SUM(I5:I9)</f>
        <v>3806.25</v>
      </c>
      <c r="J10" s="44" t="s">
        <v>106</v>
      </c>
      <c r="K10" s="44">
        <f>SUM(K5:K9)</f>
        <v>16.5</v>
      </c>
      <c r="L10" s="44">
        <f>SUM(L5:L9)</f>
        <v>5.3812500000000005</v>
      </c>
      <c r="M10" s="44">
        <f>SUM(M5:M9)</f>
        <v>21.881250000000001</v>
      </c>
      <c r="N10" s="44">
        <f>SUM(N5:N9)</f>
        <v>126500</v>
      </c>
      <c r="O10" s="44" t="s">
        <v>106</v>
      </c>
      <c r="P10" s="44">
        <f>SUM(P5:P9)</f>
        <v>132000</v>
      </c>
      <c r="Q10" s="44" t="s">
        <v>106</v>
      </c>
      <c r="R10" s="44" t="s">
        <v>106</v>
      </c>
      <c r="S10" s="44">
        <f>SUM(S5:S9)</f>
        <v>37500</v>
      </c>
      <c r="T10" s="44">
        <f>SUM(T5:T9)</f>
        <v>13500</v>
      </c>
      <c r="U10" s="44">
        <f>SUM(U5:U9)</f>
        <v>3806.25</v>
      </c>
      <c r="V10" s="44" t="s">
        <v>106</v>
      </c>
      <c r="W10" s="44">
        <f>SUM(W5:W9)</f>
        <v>16.5</v>
      </c>
      <c r="X10" s="44">
        <f>SUM(X5:X9)</f>
        <v>5.3812500000000005</v>
      </c>
      <c r="Y10" s="44">
        <f>SUM(Y5:Y9)</f>
        <v>21.881250000000001</v>
      </c>
    </row>
    <row r="11" spans="1:29" ht="15" thickBot="1" x14ac:dyDescent="0.4">
      <c r="A11" s="55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50"/>
    </row>
    <row r="12" spans="1:29" s="64" customFormat="1" ht="15" thickBot="1" x14ac:dyDescent="0.4">
      <c r="A12" s="78" t="s">
        <v>185</v>
      </c>
      <c r="B12" s="79">
        <f>Revenue!J5</f>
        <v>270</v>
      </c>
      <c r="C12" s="134">
        <f>Revenue!B10*Revenue!B5</f>
        <v>25</v>
      </c>
      <c r="D12" s="79">
        <f>B12*C12</f>
        <v>6750</v>
      </c>
      <c r="E12" s="134">
        <v>4</v>
      </c>
      <c r="F12" s="80">
        <f>G12/D12</f>
        <v>0.53518518518518521</v>
      </c>
      <c r="G12" s="79">
        <f>Revenue!B20*Revenue!B11*C12</f>
        <v>3612.5</v>
      </c>
      <c r="H12" s="79">
        <f>(D12-G12)/E12</f>
        <v>784.375</v>
      </c>
      <c r="I12" s="44">
        <f>IF(G12&gt;0,Breeding!$F$4*((D12-G12)/2),Breeding!$F$4*D12)</f>
        <v>117.65625</v>
      </c>
      <c r="J12" s="184">
        <v>1</v>
      </c>
      <c r="K12" s="81">
        <f>(J12*H12)/Revenue!$B$5</f>
        <v>3.1375000000000002</v>
      </c>
      <c r="L12" s="166">
        <f>(I12*J12)/Revenue!$B$5</f>
        <v>0.47062500000000002</v>
      </c>
      <c r="M12" s="82">
        <f>K12+L12</f>
        <v>3.6081250000000002</v>
      </c>
      <c r="N12" s="79">
        <f>Revenue!L5</f>
        <v>279</v>
      </c>
      <c r="O12" s="164">
        <f>Revenue!C10*Revenue!C5</f>
        <v>25</v>
      </c>
      <c r="P12" s="79">
        <f>N12*O12</f>
        <v>6975</v>
      </c>
      <c r="Q12" s="164">
        <v>4</v>
      </c>
      <c r="R12" s="80">
        <f>S12/P12</f>
        <v>0.51792114695340496</v>
      </c>
      <c r="S12" s="79">
        <f>Revenue!C20*Revenue!C11*O12</f>
        <v>3612.5</v>
      </c>
      <c r="T12" s="79">
        <f>(P12-S12)/Q12</f>
        <v>840.625</v>
      </c>
      <c r="U12" s="215">
        <f>IF(S12&gt;0,Breeding!$H$4*((D12-G12)/2),Breeding!$H$4*D12)</f>
        <v>117.65625</v>
      </c>
      <c r="V12" s="154">
        <v>1</v>
      </c>
      <c r="W12" s="81">
        <f>(V12*T12)/Revenue!$B$5</f>
        <v>3.3624999999999998</v>
      </c>
      <c r="X12" s="166">
        <f>(U12*V12)/Revenue!$B$5</f>
        <v>0.47062500000000002</v>
      </c>
      <c r="Y12" s="82">
        <f>W12+X12</f>
        <v>3.8331249999999999</v>
      </c>
      <c r="Z12" s="57"/>
    </row>
    <row r="13" spans="1:29" x14ac:dyDescent="0.35"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Z13" s="39"/>
    </row>
    <row r="14" spans="1:29" x14ac:dyDescent="0.35"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Z14" s="85"/>
    </row>
    <row r="15" spans="1:29" x14ac:dyDescent="0.35">
      <c r="A15" s="252" t="s">
        <v>216</v>
      </c>
      <c r="B15" s="252"/>
      <c r="C15" s="252"/>
      <c r="D15" s="252"/>
      <c r="E15" s="252"/>
      <c r="F15" s="252"/>
      <c r="G15" s="252"/>
      <c r="H15" s="42"/>
      <c r="I15" s="42"/>
      <c r="J15" s="42"/>
      <c r="K15" s="42"/>
      <c r="L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Z15" s="85"/>
    </row>
    <row r="16" spans="1:29" x14ac:dyDescent="0.35">
      <c r="C16" s="42"/>
      <c r="D16" s="42"/>
      <c r="E16" s="42"/>
      <c r="F16" s="42"/>
      <c r="G16" s="42"/>
      <c r="H16" s="42"/>
      <c r="I16" s="42"/>
      <c r="J16" s="42"/>
      <c r="K16" s="42"/>
      <c r="L16" s="42"/>
      <c r="O16" s="42"/>
      <c r="P16" s="42"/>
      <c r="Q16" s="42"/>
      <c r="R16" s="42"/>
      <c r="S16" s="42"/>
      <c r="T16" s="42"/>
      <c r="U16" s="42"/>
      <c r="V16" s="42"/>
      <c r="W16" s="42"/>
      <c r="X16" s="42"/>
    </row>
    <row r="17" spans="1:7" ht="29.5" thickBot="1" x14ac:dyDescent="0.4">
      <c r="A17" s="24" t="s">
        <v>111</v>
      </c>
      <c r="B17" s="163" t="s">
        <v>105</v>
      </c>
      <c r="C17" s="106" t="s">
        <v>103</v>
      </c>
      <c r="D17" s="106" t="s">
        <v>104</v>
      </c>
      <c r="E17" s="161" t="s">
        <v>105</v>
      </c>
      <c r="F17" s="107" t="s">
        <v>103</v>
      </c>
      <c r="G17" s="107" t="s">
        <v>104</v>
      </c>
    </row>
    <row r="18" spans="1:7" ht="15" thickBot="1" x14ac:dyDescent="0.4">
      <c r="A18" t="s">
        <v>100</v>
      </c>
      <c r="B18" s="175">
        <v>7.4999999999999997E-2</v>
      </c>
      <c r="C18" s="112">
        <f>B18*J5*D5</f>
        <v>1125</v>
      </c>
      <c r="D18" s="109">
        <f>C18/Revenue!$B$5</f>
        <v>4.5</v>
      </c>
      <c r="E18" s="157">
        <v>7.4999999999999997E-2</v>
      </c>
      <c r="F18" s="42">
        <f>E18*V5*P5</f>
        <v>1125</v>
      </c>
      <c r="G18" s="43">
        <f>F18/Revenue!$C$5</f>
        <v>4.5</v>
      </c>
    </row>
    <row r="19" spans="1:7" ht="15" thickBot="1" x14ac:dyDescent="0.4">
      <c r="A19" t="s">
        <v>137</v>
      </c>
      <c r="B19" s="175">
        <v>7.4999999999999997E-2</v>
      </c>
      <c r="C19" s="112">
        <f>B19*J6*D6</f>
        <v>281.25</v>
      </c>
      <c r="D19" s="109">
        <f>C19/Revenue!$B$5</f>
        <v>1.125</v>
      </c>
      <c r="E19" s="157">
        <v>7.4999999999999997E-2</v>
      </c>
      <c r="F19" s="42">
        <f>E19*V6*P6</f>
        <v>281.25</v>
      </c>
      <c r="G19" s="43">
        <f>F19/Revenue!$C$5</f>
        <v>1.125</v>
      </c>
    </row>
    <row r="20" spans="1:7" ht="15" thickBot="1" x14ac:dyDescent="0.4">
      <c r="A20" t="s">
        <v>99</v>
      </c>
      <c r="B20" s="175">
        <v>7.4999999999999997E-2</v>
      </c>
      <c r="C20" s="112">
        <f>B20*J7*D7</f>
        <v>937.5</v>
      </c>
      <c r="D20" s="109">
        <f>C20/Revenue!$B$5</f>
        <v>3.75</v>
      </c>
      <c r="E20" s="157">
        <v>7.4999999999999997E-2</v>
      </c>
      <c r="F20" s="42">
        <f>E20*V7*P7</f>
        <v>937.5</v>
      </c>
      <c r="G20" s="43">
        <f>F20/Revenue!$C$5</f>
        <v>3.75</v>
      </c>
    </row>
    <row r="21" spans="1:7" x14ac:dyDescent="0.35">
      <c r="A21" t="s">
        <v>214</v>
      </c>
      <c r="B21" s="42" t="s">
        <v>106</v>
      </c>
      <c r="C21" s="42" t="s">
        <v>106</v>
      </c>
      <c r="D21" s="42" t="s">
        <v>106</v>
      </c>
      <c r="E21" s="42" t="s">
        <v>106</v>
      </c>
      <c r="F21" s="42" t="s">
        <v>106</v>
      </c>
      <c r="G21" s="42" t="s">
        <v>106</v>
      </c>
    </row>
    <row r="22" spans="1:7" x14ac:dyDescent="0.35">
      <c r="A22" s="26" t="s">
        <v>215</v>
      </c>
      <c r="B22" s="75" t="s">
        <v>106</v>
      </c>
      <c r="C22" s="75" t="s">
        <v>106</v>
      </c>
      <c r="D22" s="75" t="s">
        <v>106</v>
      </c>
      <c r="E22" s="75" t="s">
        <v>106</v>
      </c>
      <c r="F22" s="75" t="s">
        <v>106</v>
      </c>
      <c r="G22" s="75" t="s">
        <v>106</v>
      </c>
    </row>
    <row r="23" spans="1:7" x14ac:dyDescent="0.35">
      <c r="A23" s="78" t="s">
        <v>145</v>
      </c>
      <c r="B23" s="44" t="s">
        <v>106</v>
      </c>
      <c r="C23" s="185">
        <f>SUM(C18:C22)</f>
        <v>2343.75</v>
      </c>
      <c r="D23" s="186">
        <f>SUM(D18:D22)</f>
        <v>9.375</v>
      </c>
      <c r="E23" s="44" t="s">
        <v>106</v>
      </c>
      <c r="F23" s="185">
        <f>SUM(F18:F22)</f>
        <v>2343.75</v>
      </c>
      <c r="G23" s="186">
        <f>SUM(G18:G22)</f>
        <v>9.375</v>
      </c>
    </row>
  </sheetData>
  <sheetProtection algorithmName="SHA-512" hashValue="qVc9VWtlVh1R8T2INjJ3UYHUrsjkMgSCSVDvFDRt5hOd/S7H5EC2moPwUAH5KQB/EwN2V8Q5iAcG5RN7J5iyqw==" saltValue="gAKmwJ1ggOBC+nitk5OKFA==" spinCount="100000" sheet="1" objects="1" scenarios="1"/>
  <mergeCells count="4">
    <mergeCell ref="A1:Y1"/>
    <mergeCell ref="A15:G15"/>
    <mergeCell ref="B3:M3"/>
    <mergeCell ref="N3:Y3"/>
  </mergeCells>
  <pageMargins left="0.7" right="0.7" top="0.75" bottom="0.75" header="0.3" footer="0.3"/>
  <pageSetup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CD16D-2FEE-4DD2-A2F9-2892101D34C5}">
  <dimension ref="A1:I21"/>
  <sheetViews>
    <sheetView workbookViewId="0">
      <selection activeCell="F8" sqref="F8"/>
    </sheetView>
  </sheetViews>
  <sheetFormatPr defaultRowHeight="14.5" x14ac:dyDescent="0.35"/>
  <cols>
    <col min="1" max="1" width="38.1796875" bestFit="1" customWidth="1"/>
    <col min="5" max="5" width="17.81640625" customWidth="1"/>
    <col min="6" max="9" width="8.7265625" style="85"/>
  </cols>
  <sheetData>
    <row r="1" spans="1:9" ht="29" customHeight="1" x14ac:dyDescent="0.35">
      <c r="A1" s="239" t="s">
        <v>219</v>
      </c>
      <c r="B1" s="239"/>
      <c r="C1" s="239"/>
      <c r="E1" s="239" t="s">
        <v>220</v>
      </c>
      <c r="F1" s="239"/>
      <c r="G1" s="239"/>
      <c r="H1" s="239"/>
      <c r="I1" s="239"/>
    </row>
    <row r="3" spans="1:9" ht="15" thickBot="1" x14ac:dyDescent="0.4">
      <c r="A3" s="24" t="s">
        <v>136</v>
      </c>
      <c r="B3" s="94" t="s">
        <v>20</v>
      </c>
      <c r="C3" s="74" t="s">
        <v>20</v>
      </c>
      <c r="F3" s="251" t="s">
        <v>224</v>
      </c>
      <c r="G3" s="251"/>
      <c r="H3" s="250" t="s">
        <v>225</v>
      </c>
      <c r="I3" s="250"/>
    </row>
    <row r="4" spans="1:9" ht="15" thickBot="1" x14ac:dyDescent="0.4">
      <c r="A4" t="s">
        <v>108</v>
      </c>
      <c r="B4" s="179">
        <v>150</v>
      </c>
      <c r="C4" s="164">
        <v>150</v>
      </c>
      <c r="E4" s="24" t="s">
        <v>212</v>
      </c>
      <c r="F4" s="93" t="s">
        <v>25</v>
      </c>
      <c r="G4" s="93" t="s">
        <v>24</v>
      </c>
      <c r="H4" s="73" t="s">
        <v>25</v>
      </c>
      <c r="I4" s="73" t="s">
        <v>24</v>
      </c>
    </row>
    <row r="5" spans="1:9" x14ac:dyDescent="0.35">
      <c r="A5" t="s">
        <v>107</v>
      </c>
      <c r="B5" s="179">
        <f>B4*12</f>
        <v>1800</v>
      </c>
      <c r="C5" s="112">
        <f>C4*12</f>
        <v>1800</v>
      </c>
      <c r="E5" t="s">
        <v>218</v>
      </c>
      <c r="F5" s="43">
        <f>B6</f>
        <v>7.2</v>
      </c>
      <c r="G5" s="85">
        <f>F5*Revenue!$B$5</f>
        <v>1800</v>
      </c>
      <c r="H5" s="43">
        <f>C6</f>
        <v>7.2</v>
      </c>
      <c r="I5" s="85">
        <f>H5*Revenue!$C$5</f>
        <v>1800</v>
      </c>
    </row>
    <row r="6" spans="1:9" x14ac:dyDescent="0.35">
      <c r="A6" s="24" t="s">
        <v>109</v>
      </c>
      <c r="B6" s="136">
        <f>B5/Revenue!B5</f>
        <v>7.2</v>
      </c>
      <c r="C6" s="101">
        <f>C5/Revenue!C5</f>
        <v>7.2</v>
      </c>
      <c r="E6" t="s">
        <v>124</v>
      </c>
      <c r="F6" s="43">
        <f>B15</f>
        <v>1.5</v>
      </c>
      <c r="G6" s="85">
        <f>F6*Revenue!$B$5</f>
        <v>375</v>
      </c>
      <c r="H6" s="43">
        <f>C15</f>
        <v>1.5</v>
      </c>
      <c r="I6" s="85">
        <f>H6*Revenue!$C$5</f>
        <v>375</v>
      </c>
    </row>
    <row r="7" spans="1:9" x14ac:dyDescent="0.35">
      <c r="B7" s="179"/>
      <c r="C7" s="112"/>
      <c r="E7" s="24" t="s">
        <v>131</v>
      </c>
      <c r="F7" s="35">
        <f>B19</f>
        <v>4</v>
      </c>
      <c r="G7" s="25">
        <f>F7*Revenue!$B$5</f>
        <v>1000</v>
      </c>
      <c r="H7" s="25">
        <f>C19</f>
        <v>4</v>
      </c>
      <c r="I7" s="25">
        <f>H7*Revenue!$C$5</f>
        <v>1000</v>
      </c>
    </row>
    <row r="8" spans="1:9" ht="15" thickBot="1" x14ac:dyDescent="0.4">
      <c r="A8" s="24" t="s">
        <v>124</v>
      </c>
      <c r="B8" s="139" t="s">
        <v>20</v>
      </c>
      <c r="C8" s="96" t="s">
        <v>20</v>
      </c>
      <c r="E8" s="55" t="s">
        <v>145</v>
      </c>
      <c r="F8" s="43">
        <f>SUM(F5:F7)</f>
        <v>12.7</v>
      </c>
      <c r="G8" s="42">
        <f t="shared" ref="G8:I8" si="0">SUM(G5:G7)</f>
        <v>3175</v>
      </c>
      <c r="H8" s="43">
        <f t="shared" si="0"/>
        <v>12.7</v>
      </c>
      <c r="I8" s="42">
        <f t="shared" si="0"/>
        <v>3175</v>
      </c>
    </row>
    <row r="9" spans="1:9" ht="15" thickBot="1" x14ac:dyDescent="0.4">
      <c r="A9" t="s">
        <v>128</v>
      </c>
      <c r="B9" s="179">
        <v>1500</v>
      </c>
      <c r="C9" s="164">
        <v>1500</v>
      </c>
    </row>
    <row r="10" spans="1:9" ht="15" thickBot="1" x14ac:dyDescent="0.4">
      <c r="A10" t="s">
        <v>127</v>
      </c>
      <c r="B10" s="175">
        <v>0.05</v>
      </c>
      <c r="C10" s="157">
        <v>0.05</v>
      </c>
    </row>
    <row r="11" spans="1:9" ht="15" thickBot="1" x14ac:dyDescent="0.4">
      <c r="A11" t="s">
        <v>129</v>
      </c>
      <c r="B11" s="179">
        <f>B10*B9</f>
        <v>75</v>
      </c>
      <c r="C11" s="112">
        <f>C10*C9</f>
        <v>75</v>
      </c>
    </row>
    <row r="12" spans="1:9" ht="15" thickBot="1" x14ac:dyDescent="0.4">
      <c r="A12" t="s">
        <v>34</v>
      </c>
      <c r="B12" s="179">
        <f>'Pasture&amp;Feed'!B7</f>
        <v>2</v>
      </c>
      <c r="C12" s="164">
        <f>'Pasture&amp;Feed'!C7</f>
        <v>2</v>
      </c>
    </row>
    <row r="13" spans="1:9" ht="15" thickBot="1" x14ac:dyDescent="0.4">
      <c r="A13" t="s">
        <v>125</v>
      </c>
      <c r="B13" s="179">
        <f>B11*B12</f>
        <v>150</v>
      </c>
      <c r="C13" s="112">
        <f>C11*C12</f>
        <v>150</v>
      </c>
    </row>
    <row r="14" spans="1:9" ht="15" thickBot="1" x14ac:dyDescent="0.4">
      <c r="A14" t="s">
        <v>126</v>
      </c>
      <c r="B14" s="175">
        <v>0.01</v>
      </c>
      <c r="C14" s="157">
        <v>0.01</v>
      </c>
    </row>
    <row r="15" spans="1:9" x14ac:dyDescent="0.35">
      <c r="A15" s="24" t="s">
        <v>130</v>
      </c>
      <c r="B15" s="136">
        <f>B14*B13</f>
        <v>1.5</v>
      </c>
      <c r="C15" s="101">
        <f>C14*C13</f>
        <v>1.5</v>
      </c>
    </row>
    <row r="16" spans="1:9" x14ac:dyDescent="0.35">
      <c r="B16" s="169"/>
      <c r="C16" s="57"/>
    </row>
    <row r="17" spans="1:3" ht="15" thickBot="1" x14ac:dyDescent="0.4">
      <c r="A17" s="24" t="s">
        <v>131</v>
      </c>
      <c r="B17" s="139" t="s">
        <v>20</v>
      </c>
      <c r="C17" s="96" t="s">
        <v>20</v>
      </c>
    </row>
    <row r="18" spans="1:3" ht="15" thickBot="1" x14ac:dyDescent="0.4">
      <c r="A18" t="s">
        <v>133</v>
      </c>
      <c r="B18" s="179">
        <v>1000</v>
      </c>
      <c r="C18" s="164">
        <v>1000</v>
      </c>
    </row>
    <row r="19" spans="1:3" x14ac:dyDescent="0.35">
      <c r="A19" s="24" t="s">
        <v>134</v>
      </c>
      <c r="B19" s="139">
        <f>+B18/Revenue!B5</f>
        <v>4</v>
      </c>
      <c r="C19" s="118">
        <f>+C18/Revenue!C5</f>
        <v>4</v>
      </c>
    </row>
    <row r="20" spans="1:3" x14ac:dyDescent="0.35">
      <c r="B20" s="57"/>
      <c r="C20" s="57"/>
    </row>
    <row r="21" spans="1:3" x14ac:dyDescent="0.35">
      <c r="B21" s="57"/>
      <c r="C21" s="57"/>
    </row>
  </sheetData>
  <sheetProtection algorithmName="SHA-512" hashValue="W49VwTOE2/r2s8/YJZuExh4WjsMy68bJE/JAskw5eGMzBOfyLaeYIca0+ETLcsKiZQpEfzH6RZrLdYOpTFIHTQ==" saltValue="1+xo/EIBycIsD8LjenTIBQ==" spinCount="100000" sheet="1" objects="1" scenarios="1"/>
  <mergeCells count="4">
    <mergeCell ref="A1:C1"/>
    <mergeCell ref="E1:I1"/>
    <mergeCell ref="F3:G3"/>
    <mergeCell ref="H3:I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6B409-7015-478D-8F89-77F2524B97F5}">
  <dimension ref="A1:E12"/>
  <sheetViews>
    <sheetView workbookViewId="0">
      <selection activeCell="B5" sqref="B5"/>
    </sheetView>
  </sheetViews>
  <sheetFormatPr defaultRowHeight="14.5" x14ac:dyDescent="0.35"/>
  <cols>
    <col min="1" max="1" width="34.7265625" bestFit="1" customWidth="1"/>
    <col min="2" max="2" width="8.7265625" style="50"/>
    <col min="3" max="3" width="8.7265625" style="61"/>
  </cols>
  <sheetData>
    <row r="1" spans="1:5" ht="28.5" customHeight="1" x14ac:dyDescent="0.35">
      <c r="A1" s="239" t="s">
        <v>206</v>
      </c>
      <c r="B1" s="239"/>
      <c r="C1" s="239"/>
      <c r="D1" s="239"/>
      <c r="E1" s="239"/>
    </row>
    <row r="2" spans="1:5" x14ac:dyDescent="0.35">
      <c r="A2" s="122"/>
      <c r="B2" s="122"/>
      <c r="C2" s="122"/>
      <c r="D2" s="122"/>
      <c r="E2" s="122"/>
    </row>
    <row r="3" spans="1:5" x14ac:dyDescent="0.35">
      <c r="B3" s="251" t="s">
        <v>224</v>
      </c>
      <c r="C3" s="251"/>
      <c r="D3" s="250" t="s">
        <v>225</v>
      </c>
      <c r="E3" s="250"/>
    </row>
    <row r="4" spans="1:5" ht="15" thickBot="1" x14ac:dyDescent="0.4">
      <c r="A4" s="24" t="s">
        <v>207</v>
      </c>
      <c r="B4" s="93" t="s">
        <v>25</v>
      </c>
      <c r="C4" s="93" t="s">
        <v>24</v>
      </c>
      <c r="D4" s="58" t="s">
        <v>25</v>
      </c>
      <c r="E4" s="73" t="s">
        <v>24</v>
      </c>
    </row>
    <row r="5" spans="1:5" ht="15" thickBot="1" x14ac:dyDescent="0.4">
      <c r="A5" t="s">
        <v>208</v>
      </c>
      <c r="B5" s="169">
        <v>750</v>
      </c>
      <c r="C5" s="57"/>
      <c r="D5" s="153">
        <v>750</v>
      </c>
    </row>
    <row r="6" spans="1:5" ht="15" thickBot="1" x14ac:dyDescent="0.4">
      <c r="A6" t="s">
        <v>189</v>
      </c>
      <c r="B6" s="169">
        <v>150</v>
      </c>
      <c r="C6" s="57"/>
      <c r="D6" s="153">
        <v>150</v>
      </c>
    </row>
    <row r="7" spans="1:5" x14ac:dyDescent="0.35">
      <c r="A7" t="s">
        <v>209</v>
      </c>
      <c r="B7" s="50">
        <f>+B5-B6</f>
        <v>600</v>
      </c>
      <c r="D7" s="61">
        <f>+D5-D6</f>
        <v>600</v>
      </c>
    </row>
    <row r="8" spans="1:5" x14ac:dyDescent="0.35">
      <c r="B8" s="61"/>
      <c r="D8" s="61"/>
    </row>
    <row r="9" spans="1:5" x14ac:dyDescent="0.35">
      <c r="B9" s="61"/>
      <c r="D9" s="61"/>
    </row>
    <row r="10" spans="1:5" x14ac:dyDescent="0.35">
      <c r="A10" t="s">
        <v>188</v>
      </c>
      <c r="B10" s="50">
        <f>+B7/Revenue!B5</f>
        <v>2.4</v>
      </c>
      <c r="C10" s="61">
        <f>B10*Revenue!B5</f>
        <v>600</v>
      </c>
      <c r="D10" s="61">
        <f>+D7/Revenue!C5</f>
        <v>2.4</v>
      </c>
      <c r="E10" s="61">
        <f>D10*Revenue!C5</f>
        <v>600</v>
      </c>
    </row>
    <row r="12" spans="1:5" x14ac:dyDescent="0.35">
      <c r="A12" s="24" t="s">
        <v>210</v>
      </c>
      <c r="B12" s="35">
        <f>B10*('Pasture&amp;Feed'!B42/365)*'Pasture&amp;Feed'!B8</f>
        <v>7.6931506849315073E-2</v>
      </c>
      <c r="C12" s="35">
        <f>C10*('Pasture&amp;Feed'!C42/365)*'Pasture&amp;Feed'!C8</f>
        <v>19.232876712328768</v>
      </c>
      <c r="D12" s="35">
        <f>D10*('Pasture&amp;Feed'!C42/365)*'Pasture&amp;Feed'!C8</f>
        <v>7.6931506849315073E-2</v>
      </c>
      <c r="E12" s="35">
        <f>E10*('Pasture&amp;Feed'!C42/365)*'Pasture&amp;Feed'!C8</f>
        <v>19.232876712328768</v>
      </c>
    </row>
  </sheetData>
  <sheetProtection algorithmName="SHA-512" hashValue="HB2mRs578xS7/PkuEmcB8OBymmEBoe3u96aSz/fokbk1H97ohEQFxbDsLFED2jrY8HRRRBSNtjF2U0hYqbaSFg==" saltValue="ps1RNAp+Z/+gP1KNwRI95w==" spinCount="100000" sheet="1" objects="1" scenarios="1"/>
  <mergeCells count="3">
    <mergeCell ref="A1:E1"/>
    <mergeCell ref="B3:C3"/>
    <mergeCell ref="D3:E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7D4B7-5167-4B3E-BBA1-EEF1C294281D}">
  <dimension ref="A1:E10"/>
  <sheetViews>
    <sheetView workbookViewId="0">
      <selection activeCell="B6" sqref="B6"/>
    </sheetView>
  </sheetViews>
  <sheetFormatPr defaultRowHeight="14.5" x14ac:dyDescent="0.35"/>
  <cols>
    <col min="1" max="1" width="31.54296875" bestFit="1" customWidth="1"/>
    <col min="2" max="2" width="8.7265625" style="50"/>
    <col min="3" max="3" width="10.81640625" style="61" bestFit="1" customWidth="1"/>
    <col min="4" max="4" width="10.81640625" style="50" bestFit="1" customWidth="1"/>
    <col min="5" max="5" width="10.81640625" bestFit="1" customWidth="1"/>
  </cols>
  <sheetData>
    <row r="1" spans="1:5" x14ac:dyDescent="0.35">
      <c r="A1" s="252" t="s">
        <v>177</v>
      </c>
      <c r="B1" s="252"/>
      <c r="C1" s="103"/>
      <c r="D1" s="104"/>
      <c r="E1" s="105"/>
    </row>
    <row r="3" spans="1:5" x14ac:dyDescent="0.35">
      <c r="B3" s="251" t="s">
        <v>224</v>
      </c>
      <c r="C3" s="251"/>
      <c r="D3" s="250" t="s">
        <v>225</v>
      </c>
      <c r="E3" s="250"/>
    </row>
    <row r="4" spans="1:5" x14ac:dyDescent="0.35">
      <c r="A4" s="24" t="s">
        <v>170</v>
      </c>
      <c r="B4" s="93" t="s">
        <v>25</v>
      </c>
      <c r="C4" s="93" t="s">
        <v>24</v>
      </c>
      <c r="D4" s="73" t="s">
        <v>25</v>
      </c>
      <c r="E4" s="73" t="s">
        <v>24</v>
      </c>
    </row>
    <row r="5" spans="1:5" x14ac:dyDescent="0.35">
      <c r="A5" t="s">
        <v>171</v>
      </c>
      <c r="B5" s="43">
        <f>'Pasture&amp;Feed'!F21</f>
        <v>7.3534602130136975</v>
      </c>
      <c r="C5" s="42">
        <f>'Pasture&amp;Feed'!G21</f>
        <v>1838.3650532534245</v>
      </c>
      <c r="D5" s="43">
        <f>'Pasture&amp;Feed'!H21</f>
        <v>6.9889569304794517</v>
      </c>
      <c r="E5" s="42">
        <f>'Pasture&amp;Feed'!I21</f>
        <v>1747.2392326198628</v>
      </c>
    </row>
    <row r="6" spans="1:5" x14ac:dyDescent="0.35">
      <c r="A6" t="s">
        <v>172</v>
      </c>
      <c r="B6" s="43">
        <f>Vet_Med!J16</f>
        <v>0.29901411965909097</v>
      </c>
      <c r="C6" s="43">
        <f>Vet_Med!K16</f>
        <v>74.753529914772741</v>
      </c>
      <c r="D6" s="43">
        <f>Vet_Med!L16</f>
        <v>0.29901411965909097</v>
      </c>
      <c r="E6" s="43">
        <f>Vet_Med!M16</f>
        <v>74.753529914772741</v>
      </c>
    </row>
    <row r="7" spans="1:5" x14ac:dyDescent="0.35">
      <c r="A7" t="s">
        <v>175</v>
      </c>
      <c r="B7" s="47">
        <f>Shearing!B23</f>
        <v>5.0005479452054802E-2</v>
      </c>
      <c r="C7" s="47">
        <f>Shearing!C23</f>
        <v>12.5013698630137</v>
      </c>
      <c r="D7" s="47">
        <f>Shearing!D23</f>
        <v>3.8209315068493149E-2</v>
      </c>
      <c r="E7" s="47">
        <f>Shearing!E23</f>
        <v>9.5523287671232868</v>
      </c>
    </row>
    <row r="8" spans="1:5" x14ac:dyDescent="0.35">
      <c r="A8" t="s">
        <v>7</v>
      </c>
      <c r="B8" s="47">
        <f>Labor!B27</f>
        <v>0.17550000000000002</v>
      </c>
      <c r="C8" s="47">
        <f>Labor!C27</f>
        <v>41.023125000000007</v>
      </c>
      <c r="D8" s="47">
        <f>Labor!D27</f>
        <v>0.1404</v>
      </c>
      <c r="E8" s="47">
        <f>Labor!E27</f>
        <v>32.8185</v>
      </c>
    </row>
    <row r="9" spans="1:5" x14ac:dyDescent="0.35">
      <c r="A9" t="s">
        <v>211</v>
      </c>
      <c r="B9" s="47">
        <f>'Pred Contrl'!B12</f>
        <v>7.6931506849315073E-2</v>
      </c>
      <c r="C9" s="47">
        <f>'Pred Contrl'!C12</f>
        <v>19.232876712328768</v>
      </c>
      <c r="D9" s="47">
        <f>'Pred Contrl'!D12</f>
        <v>7.6931506849315073E-2</v>
      </c>
      <c r="E9" s="47">
        <f>'Pred Contrl'!E12</f>
        <v>19.232876712328768</v>
      </c>
    </row>
    <row r="10" spans="1:5" x14ac:dyDescent="0.35">
      <c r="A10" s="24" t="s">
        <v>176</v>
      </c>
      <c r="B10" s="45">
        <f>SUM(B5:B9)</f>
        <v>7.9549113189741592</v>
      </c>
      <c r="C10" s="44">
        <f t="shared" ref="C10:E10" si="0">SUM(C5:C9)</f>
        <v>1985.8759547435398</v>
      </c>
      <c r="D10" s="45">
        <f t="shared" si="0"/>
        <v>7.5435118720563512</v>
      </c>
      <c r="E10" s="44">
        <f t="shared" si="0"/>
        <v>1883.5964680140878</v>
      </c>
    </row>
  </sheetData>
  <sheetProtection algorithmName="SHA-512" hashValue="zJp5qvMGDqufKqXWWfi/OwObfkSTe1IB1l4C8m7/C3O2KoL+hU+HHRLCF88ioLPHj55/eB4dXBq4F0MwqETxzQ==" saltValue="1L/9BRUt/+d14nAp5y0XOg==" spinCount="100000" sheet="1" objects="1" scenarios="1"/>
  <mergeCells count="3">
    <mergeCell ref="A1:B1"/>
    <mergeCell ref="B3:C3"/>
    <mergeCell ref="D3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7B261-3A64-4905-BEA1-313D89AFAACE}">
  <dimension ref="A1:L38"/>
  <sheetViews>
    <sheetView zoomScale="70" zoomScaleNormal="70" workbookViewId="0">
      <pane xSplit="5" ySplit="11" topLeftCell="F12" activePane="bottomRight" state="frozen"/>
      <selection pane="topRight" activeCell="F1" sqref="F1"/>
      <selection pane="bottomLeft" activeCell="A12" sqref="A12"/>
      <selection pane="bottomRight" activeCell="T21" sqref="T21"/>
    </sheetView>
  </sheetViews>
  <sheetFormatPr defaultRowHeight="15.5" x14ac:dyDescent="0.35"/>
  <cols>
    <col min="1" max="1" width="38.90625" style="1" bestFit="1" customWidth="1"/>
    <col min="2" max="2" width="9.08984375" style="70" customWidth="1"/>
    <col min="3" max="3" width="13.453125" style="69" customWidth="1"/>
    <col min="4" max="4" width="9.54296875" style="69" customWidth="1"/>
    <col min="5" max="5" width="10.81640625" style="69" customWidth="1"/>
    <col min="6" max="16384" width="8.7265625" style="32"/>
  </cols>
  <sheetData>
    <row r="1" spans="1:12" ht="32.5" customHeight="1" x14ac:dyDescent="0.35">
      <c r="A1" s="233" t="s">
        <v>339</v>
      </c>
      <c r="B1" s="233"/>
      <c r="C1" s="233"/>
      <c r="D1" s="233"/>
      <c r="E1" s="233"/>
    </row>
    <row r="2" spans="1:12" x14ac:dyDescent="0.35">
      <c r="A2" s="92"/>
      <c r="B2" s="92"/>
      <c r="C2" s="92"/>
      <c r="D2" s="92"/>
      <c r="E2" s="92"/>
    </row>
    <row r="3" spans="1:12" x14ac:dyDescent="0.35">
      <c r="B3" s="234" t="s">
        <v>222</v>
      </c>
      <c r="C3" s="234"/>
      <c r="D3" s="235" t="s">
        <v>223</v>
      </c>
      <c r="E3" s="235"/>
      <c r="F3" s="67"/>
      <c r="G3" s="67"/>
      <c r="H3" s="67"/>
      <c r="I3" s="67"/>
      <c r="J3" s="67"/>
      <c r="K3" s="67"/>
      <c r="L3" s="67"/>
    </row>
    <row r="4" spans="1:12" x14ac:dyDescent="0.35">
      <c r="A4" s="71" t="s">
        <v>121</v>
      </c>
      <c r="B4" s="196" t="s">
        <v>25</v>
      </c>
      <c r="C4" s="197" t="s">
        <v>24</v>
      </c>
      <c r="D4" s="198" t="s">
        <v>25</v>
      </c>
      <c r="E4" s="199" t="s">
        <v>24</v>
      </c>
    </row>
    <row r="5" spans="1:12" x14ac:dyDescent="0.35">
      <c r="A5" s="1" t="s">
        <v>0</v>
      </c>
      <c r="B5" s="70">
        <f>Revenue!J5</f>
        <v>270</v>
      </c>
      <c r="C5" s="69">
        <f>Revenue!K5</f>
        <v>67500</v>
      </c>
      <c r="D5" s="70">
        <f>Revenue!L5</f>
        <v>279</v>
      </c>
      <c r="E5" s="69">
        <f>Revenue!M5</f>
        <v>69750</v>
      </c>
    </row>
    <row r="6" spans="1:12" x14ac:dyDescent="0.35">
      <c r="A6" s="1" t="s">
        <v>1</v>
      </c>
      <c r="B6" s="70">
        <f>Revenue!J6</f>
        <v>13.872</v>
      </c>
      <c r="C6" s="69">
        <f>Revenue!K6</f>
        <v>3468</v>
      </c>
      <c r="D6" s="70">
        <f>Revenue!L6</f>
        <v>13.872</v>
      </c>
      <c r="E6" s="69">
        <f>Revenue!M6</f>
        <v>3468</v>
      </c>
    </row>
    <row r="7" spans="1:12" x14ac:dyDescent="0.35">
      <c r="A7" s="1" t="s">
        <v>2</v>
      </c>
      <c r="B7" s="70">
        <f>Revenue!J7</f>
        <v>0.88127999999999995</v>
      </c>
      <c r="C7" s="69">
        <f>Revenue!K7</f>
        <v>220.32</v>
      </c>
      <c r="D7" s="70">
        <f>Revenue!L7</f>
        <v>0.88127999999999995</v>
      </c>
      <c r="E7" s="69">
        <f>Revenue!M7</f>
        <v>220.32</v>
      </c>
    </row>
    <row r="8" spans="1:12" x14ac:dyDescent="0.35">
      <c r="A8" s="1" t="s">
        <v>285</v>
      </c>
      <c r="B8" s="70">
        <f>SUM(Revenue!J10:J13)</f>
        <v>10.142018</v>
      </c>
      <c r="C8" s="69">
        <f>SUM(Revenue!K10:K13)</f>
        <v>2535.5045</v>
      </c>
      <c r="D8" s="70">
        <f>SUM(Revenue!L10:L13)</f>
        <v>10.142018</v>
      </c>
      <c r="E8" s="69">
        <f>SUM(Revenue!M10:M13)</f>
        <v>2535.5045</v>
      </c>
    </row>
    <row r="9" spans="1:12" x14ac:dyDescent="0.35">
      <c r="A9" s="68" t="s">
        <v>235</v>
      </c>
      <c r="B9" s="191">
        <f>SUM(B5:B8)</f>
        <v>294.89529800000003</v>
      </c>
      <c r="C9" s="192">
        <f t="shared" ref="C9:E9" si="0">SUM(C5:C8)</f>
        <v>73723.824500000002</v>
      </c>
      <c r="D9" s="191">
        <f t="shared" si="0"/>
        <v>303.89529800000003</v>
      </c>
      <c r="E9" s="192">
        <f t="shared" si="0"/>
        <v>75973.824500000002</v>
      </c>
    </row>
    <row r="11" spans="1:12" x14ac:dyDescent="0.35">
      <c r="A11" s="71" t="s">
        <v>120</v>
      </c>
      <c r="B11" s="84" t="s">
        <v>25</v>
      </c>
      <c r="C11" s="83" t="s">
        <v>24</v>
      </c>
      <c r="D11" s="84" t="s">
        <v>25</v>
      </c>
      <c r="E11" s="83" t="s">
        <v>24</v>
      </c>
    </row>
    <row r="12" spans="1:12" x14ac:dyDescent="0.35">
      <c r="A12" s="1" t="s">
        <v>3</v>
      </c>
      <c r="B12" s="70">
        <f>'Pasture&amp;Feed'!F4</f>
        <v>60</v>
      </c>
      <c r="C12" s="69">
        <f>'Pasture&amp;Feed'!G4</f>
        <v>15000</v>
      </c>
      <c r="D12" s="70">
        <f>'Pasture&amp;Feed'!H4</f>
        <v>60</v>
      </c>
      <c r="E12" s="69">
        <f>'Pasture&amp;Feed'!I4</f>
        <v>15000</v>
      </c>
    </row>
    <row r="13" spans="1:12" x14ac:dyDescent="0.35">
      <c r="A13" s="1" t="s">
        <v>4</v>
      </c>
      <c r="B13" s="70">
        <f>'Pasture&amp;Feed'!F5</f>
        <v>39.3384</v>
      </c>
      <c r="C13" s="69">
        <f>'Pasture&amp;Feed'!G5</f>
        <v>9834.6</v>
      </c>
      <c r="D13" s="70">
        <f>'Pasture&amp;Feed'!H5</f>
        <v>29.503799999999998</v>
      </c>
      <c r="E13" s="69">
        <f>'Pasture&amp;Feed'!I5</f>
        <v>7375.95</v>
      </c>
    </row>
    <row r="14" spans="1:12" x14ac:dyDescent="0.35">
      <c r="A14" s="1" t="s">
        <v>240</v>
      </c>
      <c r="B14" s="70">
        <f>'Pasture&amp;Feed'!F6</f>
        <v>5.5</v>
      </c>
      <c r="C14" s="69">
        <f>'Pasture&amp;Feed'!G6</f>
        <v>1375</v>
      </c>
      <c r="D14" s="70">
        <f>'Pasture&amp;Feed'!H6</f>
        <v>5.5</v>
      </c>
      <c r="E14" s="69">
        <f>'Pasture&amp;Feed'!I6</f>
        <v>1375</v>
      </c>
    </row>
    <row r="15" spans="1:12" x14ac:dyDescent="0.35">
      <c r="A15" s="1" t="s">
        <v>241</v>
      </c>
      <c r="B15" s="70">
        <f>'Pasture&amp;Feed'!F7</f>
        <v>36.879749999999994</v>
      </c>
      <c r="C15" s="69">
        <f>'Pasture&amp;Feed'!G7</f>
        <v>9219.9374999999982</v>
      </c>
      <c r="D15" s="70">
        <f>'Pasture&amp;Feed'!H7</f>
        <v>35.650424999999991</v>
      </c>
      <c r="E15" s="69">
        <f>'Pasture&amp;Feed'!I7</f>
        <v>8912.6062499999971</v>
      </c>
    </row>
    <row r="16" spans="1:12" x14ac:dyDescent="0.35">
      <c r="A16" s="1" t="s">
        <v>54</v>
      </c>
      <c r="B16" s="70">
        <f>'Pasture&amp;Feed'!F8</f>
        <v>6.0268800000000002</v>
      </c>
      <c r="C16" s="69">
        <f>'Pasture&amp;Feed'!G8</f>
        <v>1506.72</v>
      </c>
      <c r="D16" s="70">
        <f>'Pasture&amp;Feed'!H8</f>
        <v>6.0268800000000002</v>
      </c>
      <c r="E16" s="69">
        <f>'Pasture&amp;Feed'!I8</f>
        <v>1506.72</v>
      </c>
    </row>
    <row r="17" spans="1:6" x14ac:dyDescent="0.35">
      <c r="A17" s="1" t="s">
        <v>239</v>
      </c>
      <c r="B17" s="70">
        <f>Vet_Med!J14</f>
        <v>4.6002172255244762</v>
      </c>
      <c r="C17" s="69">
        <f>Vet_Med!K14</f>
        <v>1150.0543063811187</v>
      </c>
      <c r="D17" s="70">
        <f>Vet_Med!L14</f>
        <v>4.6002172255244762</v>
      </c>
      <c r="E17" s="69">
        <f>Vet_Med!M14</f>
        <v>1150.0543063811187</v>
      </c>
    </row>
    <row r="18" spans="1:6" x14ac:dyDescent="0.35">
      <c r="A18" s="1" t="s">
        <v>5</v>
      </c>
      <c r="B18" s="70">
        <f>Breeding!F9</f>
        <v>6.3546354845875248</v>
      </c>
      <c r="C18" s="69">
        <f>Breeding!G9</f>
        <v>1588.6588711468812</v>
      </c>
      <c r="D18" s="70">
        <f>Breeding!H9</f>
        <v>6.3546354845875248</v>
      </c>
      <c r="E18" s="69">
        <f>Breeding!I9</f>
        <v>1588.6588711468812</v>
      </c>
    </row>
    <row r="19" spans="1:6" x14ac:dyDescent="0.35">
      <c r="A19" s="1" t="s">
        <v>242</v>
      </c>
      <c r="B19" s="70">
        <f>'Market&amp;Haul'!G12</f>
        <v>5.1308181818181815</v>
      </c>
      <c r="C19" s="69">
        <f>'Market&amp;Haul'!H12</f>
        <v>1282.7045454545455</v>
      </c>
      <c r="D19" s="70">
        <f>'Market&amp;Haul'!I12</f>
        <v>4.8599848484848485</v>
      </c>
      <c r="E19" s="69">
        <f>'Market&amp;Haul'!J12</f>
        <v>1214.9962121212122</v>
      </c>
    </row>
    <row r="20" spans="1:6" x14ac:dyDescent="0.35">
      <c r="A20" s="1" t="s">
        <v>221</v>
      </c>
      <c r="B20" s="70">
        <f>'CRC&amp;FLR'!D23+'Uti&amp;Tax&amp;Ins'!F5</f>
        <v>16.574999999999999</v>
      </c>
      <c r="C20" s="69">
        <f>B20*Revenue!$B$5</f>
        <v>4143.75</v>
      </c>
      <c r="D20" s="70">
        <f>'CRC&amp;FLR'!G23+'Uti&amp;Tax&amp;Ins'!H5</f>
        <v>16.574999999999999</v>
      </c>
      <c r="E20" s="69">
        <f>D20*Revenue!$C$5</f>
        <v>4143.75</v>
      </c>
    </row>
    <row r="21" spans="1:6" x14ac:dyDescent="0.35">
      <c r="A21" s="1" t="s">
        <v>6</v>
      </c>
      <c r="B21" s="70">
        <f>Shearing!B21</f>
        <v>9.3600000000000012</v>
      </c>
      <c r="C21" s="69">
        <f>B21*Revenue!$B$5</f>
        <v>2340.0000000000005</v>
      </c>
      <c r="D21" s="70">
        <f>Shearing!D21</f>
        <v>7.1520000000000001</v>
      </c>
      <c r="E21" s="69">
        <f>D21*Revenue!$C$5</f>
        <v>1788</v>
      </c>
    </row>
    <row r="22" spans="1:6" x14ac:dyDescent="0.35">
      <c r="A22" s="1" t="s">
        <v>243</v>
      </c>
      <c r="B22" s="70">
        <f>'Pred Contrl'!B10</f>
        <v>2.4</v>
      </c>
      <c r="C22" s="69">
        <f>B22*Revenue!$B$5</f>
        <v>600</v>
      </c>
      <c r="D22" s="70">
        <f>'Pred Contrl'!D10</f>
        <v>2.4</v>
      </c>
      <c r="E22" s="69">
        <f>D22*Revenue!$C$5</f>
        <v>600</v>
      </c>
    </row>
    <row r="23" spans="1:6" x14ac:dyDescent="0.35">
      <c r="A23" s="1" t="s">
        <v>289</v>
      </c>
      <c r="B23" s="70">
        <f>'Pasture&amp;Feed'!F9</f>
        <v>7.8839999999999995</v>
      </c>
      <c r="C23" s="69">
        <f>'Pasture&amp;Feed'!G9</f>
        <v>1970.9999999999998</v>
      </c>
      <c r="D23" s="70">
        <f>'Pasture&amp;Feed'!H9</f>
        <v>7.8839999999999995</v>
      </c>
      <c r="E23" s="69">
        <f>'Pasture&amp;Feed'!I9</f>
        <v>1970.9999999999998</v>
      </c>
    </row>
    <row r="24" spans="1:6" x14ac:dyDescent="0.35">
      <c r="A24" s="1" t="s">
        <v>244</v>
      </c>
      <c r="B24" s="70">
        <f>'Market&amp;Haul'!G18</f>
        <v>0.75424999999999998</v>
      </c>
      <c r="C24" s="69">
        <f>'Market&amp;Haul'!H18</f>
        <v>188.5625</v>
      </c>
      <c r="D24" s="70">
        <f>'Market&amp;Haul'!I18</f>
        <v>0.75424999999999998</v>
      </c>
      <c r="E24" s="69">
        <f>'Market&amp;Haul'!J18</f>
        <v>188.5625</v>
      </c>
    </row>
    <row r="25" spans="1:6" x14ac:dyDescent="0.35">
      <c r="A25" s="1" t="s">
        <v>245</v>
      </c>
      <c r="B25" s="70">
        <f>Labor!B25</f>
        <v>24.3</v>
      </c>
      <c r="C25" s="69">
        <f>B25*Revenue!$B$5</f>
        <v>6075</v>
      </c>
      <c r="D25" s="70">
        <f>Labor!D25</f>
        <v>24.3</v>
      </c>
      <c r="E25" s="69">
        <f>D25*Revenue!$C$5</f>
        <v>6075</v>
      </c>
    </row>
    <row r="26" spans="1:6" x14ac:dyDescent="0.35">
      <c r="A26" s="1" t="s">
        <v>246</v>
      </c>
      <c r="B26" s="70">
        <f>Labor!B24</f>
        <v>2.7</v>
      </c>
      <c r="C26" s="69">
        <f>B26*Revenue!$B$5</f>
        <v>675</v>
      </c>
      <c r="D26" s="70">
        <f>Labor!D24</f>
        <v>2.16</v>
      </c>
      <c r="E26" s="69">
        <f>D26*Revenue!$C$5</f>
        <v>540</v>
      </c>
      <c r="F26" s="123"/>
    </row>
    <row r="27" spans="1:6" x14ac:dyDescent="0.35">
      <c r="A27" s="1" t="s">
        <v>247</v>
      </c>
      <c r="B27" s="70">
        <f>Interest!B10</f>
        <v>7.9549113189741592</v>
      </c>
      <c r="C27" s="69">
        <f>Interest!C10</f>
        <v>1985.8759547435398</v>
      </c>
      <c r="D27" s="70">
        <f>Interest!D10</f>
        <v>7.5435118720563512</v>
      </c>
      <c r="E27" s="69">
        <f>Interest!E10</f>
        <v>1883.5964680140878</v>
      </c>
    </row>
    <row r="28" spans="1:6" x14ac:dyDescent="0.35">
      <c r="A28" s="71" t="s">
        <v>122</v>
      </c>
      <c r="B28" s="189">
        <f>SUM(B12:B27)</f>
        <v>235.75886221090437</v>
      </c>
      <c r="C28" s="190">
        <f>SUM(C12:C27)</f>
        <v>58936.863677726084</v>
      </c>
      <c r="D28" s="189">
        <f>SUM(D12:D27)</f>
        <v>221.26470443065321</v>
      </c>
      <c r="E28" s="190">
        <f>SUM(E12:E27)</f>
        <v>55313.8946076633</v>
      </c>
    </row>
    <row r="30" spans="1:6" x14ac:dyDescent="0.35">
      <c r="A30" s="71" t="s">
        <v>123</v>
      </c>
      <c r="B30" s="84" t="s">
        <v>25</v>
      </c>
      <c r="C30" s="83" t="s">
        <v>24</v>
      </c>
      <c r="D30" s="84" t="s">
        <v>25</v>
      </c>
      <c r="E30" s="83" t="s">
        <v>24</v>
      </c>
    </row>
    <row r="31" spans="1:6" x14ac:dyDescent="0.35">
      <c r="A31" s="1" t="s">
        <v>237</v>
      </c>
      <c r="B31" s="70">
        <f>'CRC&amp;FLR'!M10</f>
        <v>21.881250000000001</v>
      </c>
      <c r="C31" s="69">
        <f>B31*Revenue!$B$5</f>
        <v>5470.3125</v>
      </c>
      <c r="D31" s="70">
        <f>'CRC&amp;FLR'!Y10</f>
        <v>21.881250000000001</v>
      </c>
      <c r="E31" s="69">
        <f>D31*Revenue!C5</f>
        <v>5470.3125</v>
      </c>
    </row>
    <row r="32" spans="1:6" x14ac:dyDescent="0.35">
      <c r="A32" s="1" t="s">
        <v>8</v>
      </c>
      <c r="B32" s="70">
        <f>'CRC&amp;FLR'!L12</f>
        <v>0.47062500000000002</v>
      </c>
      <c r="C32" s="69">
        <f>B32*Revenue!$B$5</f>
        <v>117.65625</v>
      </c>
      <c r="D32" s="70">
        <f>'CRC&amp;FLR'!X12</f>
        <v>0.47062500000000002</v>
      </c>
      <c r="E32" s="69">
        <f>D32*Revenue!C5</f>
        <v>117.65625</v>
      </c>
    </row>
    <row r="33" spans="1:5" x14ac:dyDescent="0.35">
      <c r="A33" s="1" t="s">
        <v>238</v>
      </c>
      <c r="B33" s="70">
        <f>'Uti&amp;Tax&amp;Ins'!F6+'Uti&amp;Tax&amp;Ins'!F7</f>
        <v>5.5</v>
      </c>
      <c r="C33" s="69">
        <f>B33*Revenue!$B$5</f>
        <v>1375</v>
      </c>
      <c r="D33" s="70">
        <f>'Uti&amp;Tax&amp;Ins'!H6+'Uti&amp;Tax&amp;Ins'!H7</f>
        <v>5.5</v>
      </c>
      <c r="E33" s="69">
        <f>D33*Revenue!C5</f>
        <v>1375</v>
      </c>
    </row>
    <row r="34" spans="1:5" x14ac:dyDescent="0.35">
      <c r="A34" s="71" t="s">
        <v>186</v>
      </c>
      <c r="B34" s="189">
        <f>SUM(B31:B33)</f>
        <v>27.851875</v>
      </c>
      <c r="C34" s="190">
        <f>SUM(C31:C33)</f>
        <v>6962.96875</v>
      </c>
      <c r="D34" s="189">
        <f>SUM(D31:D33)</f>
        <v>27.851875</v>
      </c>
      <c r="E34" s="190">
        <f>SUM(E31:E33)</f>
        <v>6962.96875</v>
      </c>
    </row>
    <row r="36" spans="1:5" x14ac:dyDescent="0.35">
      <c r="A36" s="68" t="s">
        <v>187</v>
      </c>
      <c r="B36" s="191">
        <f>B28+B34</f>
        <v>263.61073721090435</v>
      </c>
      <c r="C36" s="192">
        <f>C28+C34</f>
        <v>65899.832427726084</v>
      </c>
      <c r="D36" s="191">
        <f>D28+D34</f>
        <v>249.11657943065322</v>
      </c>
      <c r="E36" s="192">
        <f>E28+E34</f>
        <v>62276.8633576633</v>
      </c>
    </row>
    <row r="38" spans="1:5" x14ac:dyDescent="0.35">
      <c r="A38" s="71" t="s">
        <v>236</v>
      </c>
      <c r="B38" s="189">
        <f>B9-B36</f>
        <v>31.284560789095679</v>
      </c>
      <c r="C38" s="190">
        <f>C9-C36</f>
        <v>7823.9920722739189</v>
      </c>
      <c r="D38" s="189">
        <f>D9-D36</f>
        <v>54.778718569346807</v>
      </c>
      <c r="E38" s="190">
        <f>E9-E36</f>
        <v>13696.961142336702</v>
      </c>
    </row>
  </sheetData>
  <sheetProtection algorithmName="SHA-512" hashValue="6CnAe0HDcMJox9d0dWYWb2zbupN/Bz1KNg1x/cXmS5doOdS10oQ+TkxZLfL9waQ59N7IJMHsYkc/2db7Of+YVg==" saltValue="f6kn1+fxh4vGTuqLDw6iSQ==" spinCount="100000" sheet="1" objects="1" scenarios="1"/>
  <mergeCells count="3">
    <mergeCell ref="A1:E1"/>
    <mergeCell ref="B3:C3"/>
    <mergeCell ref="D3:E3"/>
  </mergeCells>
  <pageMargins left="0.7" right="0.7" top="0.75" bottom="0.75" header="0.3" footer="0.3"/>
  <ignoredErrors>
    <ignoredError sqref="D22:D2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013CD-39DF-4017-AEE8-6EC3A87A1DE4}">
  <dimension ref="A1:M38"/>
  <sheetViews>
    <sheetView zoomScale="90" zoomScaleNormal="90" workbookViewId="0">
      <selection activeCell="E14" sqref="E14"/>
    </sheetView>
  </sheetViews>
  <sheetFormatPr defaultColWidth="10" defaultRowHeight="15.5" x14ac:dyDescent="0.35"/>
  <cols>
    <col min="1" max="1" width="40.1796875" style="2" bestFit="1" customWidth="1"/>
    <col min="2" max="2" width="10.36328125" style="7" bestFit="1" customWidth="1"/>
    <col min="3" max="4" width="10.36328125" style="7" customWidth="1"/>
    <col min="5" max="5" width="48" style="5" customWidth="1"/>
    <col min="6" max="6" width="7.08984375" style="5" bestFit="1" customWidth="1"/>
    <col min="7" max="7" width="9.26953125" style="5" bestFit="1" customWidth="1"/>
    <col min="8" max="8" width="10" style="1"/>
    <col min="9" max="9" width="31.81640625" style="1" bestFit="1" customWidth="1"/>
    <col min="10" max="16384" width="10" style="1"/>
  </cols>
  <sheetData>
    <row r="1" spans="1:13" ht="32" customHeight="1" x14ac:dyDescent="0.35">
      <c r="A1" s="236" t="s">
        <v>194</v>
      </c>
      <c r="B1" s="236"/>
      <c r="C1" s="236"/>
      <c r="D1" s="5"/>
      <c r="E1" s="233" t="s">
        <v>231</v>
      </c>
      <c r="F1" s="233"/>
      <c r="G1" s="233"/>
      <c r="I1" s="233" t="s">
        <v>232</v>
      </c>
      <c r="J1" s="233"/>
      <c r="K1" s="233"/>
      <c r="L1" s="233"/>
      <c r="M1" s="233"/>
    </row>
    <row r="2" spans="1:13" x14ac:dyDescent="0.35">
      <c r="A2" s="1"/>
      <c r="B2" s="5"/>
      <c r="C2" s="5"/>
      <c r="D2" s="5"/>
      <c r="E2" s="115"/>
      <c r="F2" s="115"/>
      <c r="G2" s="114"/>
      <c r="I2" s="3"/>
      <c r="J2" s="3"/>
      <c r="K2" s="7"/>
      <c r="L2" s="5"/>
    </row>
    <row r="3" spans="1:13" x14ac:dyDescent="0.35">
      <c r="A3" s="1"/>
      <c r="B3" s="86" t="s">
        <v>224</v>
      </c>
      <c r="C3" s="51" t="s">
        <v>225</v>
      </c>
      <c r="D3" s="5"/>
      <c r="E3" s="115"/>
      <c r="F3" s="86" t="s">
        <v>224</v>
      </c>
      <c r="G3" s="51" t="s">
        <v>225</v>
      </c>
      <c r="I3" s="3"/>
      <c r="J3" s="237" t="s">
        <v>224</v>
      </c>
      <c r="K3" s="237"/>
      <c r="L3" s="238" t="s">
        <v>225</v>
      </c>
      <c r="M3" s="238"/>
    </row>
    <row r="4" spans="1:13" ht="16" thickBot="1" x14ac:dyDescent="0.4">
      <c r="A4" s="20" t="s">
        <v>30</v>
      </c>
      <c r="B4" s="87" t="s">
        <v>20</v>
      </c>
      <c r="C4" s="99" t="s">
        <v>20</v>
      </c>
      <c r="D4" s="8" t="s">
        <v>190</v>
      </c>
      <c r="E4" s="20" t="s">
        <v>233</v>
      </c>
      <c r="F4" s="116" t="s">
        <v>234</v>
      </c>
      <c r="G4" s="51" t="s">
        <v>234</v>
      </c>
      <c r="I4" s="16" t="s">
        <v>22</v>
      </c>
      <c r="J4" s="88" t="s">
        <v>25</v>
      </c>
      <c r="K4" s="89" t="s">
        <v>24</v>
      </c>
      <c r="L4" s="90" t="s">
        <v>25</v>
      </c>
      <c r="M4" s="91" t="s">
        <v>24</v>
      </c>
    </row>
    <row r="5" spans="1:13" ht="16" thickBot="1" x14ac:dyDescent="0.4">
      <c r="A5" s="2" t="s">
        <v>9</v>
      </c>
      <c r="B5" s="9">
        <v>250</v>
      </c>
      <c r="C5" s="9">
        <v>250</v>
      </c>
      <c r="D5" s="9"/>
      <c r="E5" s="28" t="s">
        <v>74</v>
      </c>
      <c r="F5" s="117">
        <v>0.04</v>
      </c>
      <c r="G5" s="168">
        <v>0.04</v>
      </c>
      <c r="I5" s="1" t="s">
        <v>23</v>
      </c>
      <c r="J5" s="27">
        <f>F7*B8*B19</f>
        <v>270</v>
      </c>
      <c r="K5" s="14">
        <f t="shared" ref="K5:K13" si="0">J5*$B$5</f>
        <v>67500</v>
      </c>
      <c r="L5" s="27">
        <f>G7*C8*C19</f>
        <v>279</v>
      </c>
      <c r="M5" s="14">
        <f t="shared" ref="M5:M13" si="1">L5*$C$5</f>
        <v>69750</v>
      </c>
    </row>
    <row r="6" spans="1:13" x14ac:dyDescent="0.35">
      <c r="A6" s="2" t="s">
        <v>13</v>
      </c>
      <c r="B6" s="11">
        <v>6.5000000000000002E-2</v>
      </c>
      <c r="C6" s="11">
        <v>6.5000000000000002E-2</v>
      </c>
      <c r="D6" s="11"/>
      <c r="E6" s="28" t="s">
        <v>86</v>
      </c>
      <c r="F6" s="37">
        <f>Revenue!B9</f>
        <v>75</v>
      </c>
      <c r="G6" s="37">
        <f>Revenue!C9</f>
        <v>75</v>
      </c>
      <c r="I6" s="1" t="s">
        <v>1</v>
      </c>
      <c r="J6" s="27">
        <f>(F8*B20*B10*B5)/B5</f>
        <v>13.872</v>
      </c>
      <c r="K6" s="14">
        <f t="shared" si="0"/>
        <v>3468</v>
      </c>
      <c r="L6" s="27">
        <f>(G8*C20*C10*C5)/C5</f>
        <v>13.872</v>
      </c>
      <c r="M6" s="14">
        <f t="shared" si="1"/>
        <v>3468</v>
      </c>
    </row>
    <row r="7" spans="1:13" x14ac:dyDescent="0.35">
      <c r="A7" s="2" t="s">
        <v>28</v>
      </c>
      <c r="B7" s="13">
        <f>B5-(B5*B6)</f>
        <v>233.75</v>
      </c>
      <c r="C7" s="13">
        <f>C5-(C5*C6)</f>
        <v>233.75</v>
      </c>
      <c r="D7" s="13"/>
      <c r="E7" s="28" t="s">
        <v>228</v>
      </c>
      <c r="F7" s="37">
        <f>F6-(F6*F5)</f>
        <v>72</v>
      </c>
      <c r="G7" s="37">
        <f>G6-(G6*G5)</f>
        <v>72</v>
      </c>
      <c r="I7" s="1" t="s">
        <v>2</v>
      </c>
      <c r="J7" s="27">
        <f>(F9*B21*B14*B12)/B5</f>
        <v>0.88127999999999995</v>
      </c>
      <c r="K7" s="14">
        <f t="shared" si="0"/>
        <v>220.32</v>
      </c>
      <c r="L7" s="27">
        <f>(G9*C21*C14*C12)/C5</f>
        <v>0.88127999999999995</v>
      </c>
      <c r="M7" s="14">
        <f t="shared" si="1"/>
        <v>220.32</v>
      </c>
    </row>
    <row r="8" spans="1:13" x14ac:dyDescent="0.35">
      <c r="A8" s="2" t="s">
        <v>14</v>
      </c>
      <c r="B8" s="10">
        <v>1.25</v>
      </c>
      <c r="C8" s="10">
        <v>1.25</v>
      </c>
      <c r="D8" s="10"/>
      <c r="E8" s="28" t="s">
        <v>229</v>
      </c>
      <c r="F8" s="37">
        <f>B11-(B11*F5)</f>
        <v>163.19999999999999</v>
      </c>
      <c r="G8" s="37">
        <f>C11-(C11*G5)</f>
        <v>163.19999999999999</v>
      </c>
      <c r="I8" s="1" t="s">
        <v>191</v>
      </c>
      <c r="J8" s="27">
        <f>B22*B16</f>
        <v>0</v>
      </c>
      <c r="K8" s="14">
        <f t="shared" si="0"/>
        <v>0</v>
      </c>
      <c r="L8" s="27">
        <f>C22*C16</f>
        <v>0</v>
      </c>
      <c r="M8" s="14">
        <f t="shared" si="1"/>
        <v>0</v>
      </c>
    </row>
    <row r="9" spans="1:13" x14ac:dyDescent="0.35">
      <c r="A9" s="2" t="s">
        <v>17</v>
      </c>
      <c r="B9" s="7">
        <v>75</v>
      </c>
      <c r="C9" s="7">
        <v>75</v>
      </c>
      <c r="E9" s="30" t="s">
        <v>230</v>
      </c>
      <c r="F9" s="40">
        <f>B15-(B15*F5)</f>
        <v>216</v>
      </c>
      <c r="G9" s="40">
        <f>C15-(C15*G5)</f>
        <v>216</v>
      </c>
      <c r="I9" s="1" t="s">
        <v>192</v>
      </c>
      <c r="J9" s="27">
        <f>(B22*(B16*B12))/B5</f>
        <v>0</v>
      </c>
      <c r="K9" s="14">
        <f t="shared" si="0"/>
        <v>0</v>
      </c>
      <c r="L9" s="27">
        <f>(C22*(C16*C12))/C5</f>
        <v>0</v>
      </c>
      <c r="M9" s="14">
        <f t="shared" si="1"/>
        <v>0</v>
      </c>
    </row>
    <row r="10" spans="1:13" x14ac:dyDescent="0.35">
      <c r="A10" s="2" t="s">
        <v>12</v>
      </c>
      <c r="B10" s="12">
        <v>0.1</v>
      </c>
      <c r="C10" s="12">
        <v>0.1</v>
      </c>
      <c r="D10" s="12"/>
      <c r="E10" s="1"/>
      <c r="F10" s="1"/>
      <c r="I10" s="1" t="s">
        <v>273</v>
      </c>
      <c r="J10" s="27">
        <f>B23*B8</f>
        <v>3.24125</v>
      </c>
      <c r="K10" s="14">
        <f t="shared" si="0"/>
        <v>810.3125</v>
      </c>
      <c r="L10" s="27">
        <f>C23*C8</f>
        <v>3.24125</v>
      </c>
      <c r="M10" s="14">
        <f t="shared" si="1"/>
        <v>810.3125</v>
      </c>
    </row>
    <row r="11" spans="1:13" x14ac:dyDescent="0.35">
      <c r="A11" s="2" t="s">
        <v>18</v>
      </c>
      <c r="B11" s="7">
        <v>170</v>
      </c>
      <c r="C11" s="7">
        <v>170</v>
      </c>
      <c r="E11" s="1"/>
      <c r="F11" s="1"/>
      <c r="H11" s="5"/>
      <c r="I11" s="1" t="s">
        <v>274</v>
      </c>
      <c r="J11" s="27">
        <f>B24*B8*B16</f>
        <v>3.7800000000000002</v>
      </c>
      <c r="K11" s="14">
        <f t="shared" si="0"/>
        <v>945.00000000000011</v>
      </c>
      <c r="L11" s="27">
        <f>C24*C8*C16</f>
        <v>3.7800000000000002</v>
      </c>
      <c r="M11" s="14">
        <f t="shared" si="1"/>
        <v>945.00000000000011</v>
      </c>
    </row>
    <row r="12" spans="1:13" x14ac:dyDescent="0.35">
      <c r="A12" s="2" t="s">
        <v>10</v>
      </c>
      <c r="B12" s="9">
        <v>8</v>
      </c>
      <c r="C12" s="9">
        <v>8</v>
      </c>
      <c r="D12" s="9"/>
      <c r="E12" s="1"/>
      <c r="F12" s="1"/>
      <c r="H12" s="5"/>
      <c r="I12" s="1" t="s">
        <v>275</v>
      </c>
      <c r="J12" s="27">
        <f>B25*B16</f>
        <v>3.024</v>
      </c>
      <c r="K12" s="14">
        <f t="shared" si="0"/>
        <v>756</v>
      </c>
      <c r="L12" s="27">
        <f>C25*C16</f>
        <v>3.024</v>
      </c>
      <c r="M12" s="14">
        <f t="shared" si="1"/>
        <v>756</v>
      </c>
    </row>
    <row r="13" spans="1:13" x14ac:dyDescent="0.35">
      <c r="A13" s="2" t="s">
        <v>33</v>
      </c>
      <c r="B13" s="9">
        <f>B5/B12</f>
        <v>31.25</v>
      </c>
      <c r="C13" s="9">
        <f>C5/C12</f>
        <v>31.25</v>
      </c>
      <c r="D13" s="9"/>
      <c r="E13" s="1"/>
      <c r="F13" s="1"/>
      <c r="H13" s="5"/>
      <c r="I13" s="1" t="s">
        <v>276</v>
      </c>
      <c r="J13" s="27">
        <f>B26*B16/B13</f>
        <v>9.6768000000000007E-2</v>
      </c>
      <c r="K13" s="14">
        <f t="shared" si="0"/>
        <v>24.192</v>
      </c>
      <c r="L13" s="27">
        <f>C26*C16/C13</f>
        <v>9.6768000000000007E-2</v>
      </c>
      <c r="M13" s="14">
        <f t="shared" si="1"/>
        <v>24.192</v>
      </c>
    </row>
    <row r="14" spans="1:13" x14ac:dyDescent="0.35">
      <c r="A14" s="2" t="s">
        <v>11</v>
      </c>
      <c r="B14" s="12">
        <v>0.15</v>
      </c>
      <c r="C14" s="12">
        <v>0.15</v>
      </c>
      <c r="D14" s="12"/>
      <c r="E14" s="1"/>
      <c r="F14" s="1"/>
      <c r="H14" s="5"/>
      <c r="I14" s="16" t="s">
        <v>26</v>
      </c>
      <c r="J14" s="19">
        <f>SUM(J5:J13)</f>
        <v>294.89529799999997</v>
      </c>
      <c r="K14" s="19">
        <f t="shared" ref="K14:M14" si="2">SUM(K5:K13)</f>
        <v>73723.824500000002</v>
      </c>
      <c r="L14" s="19">
        <f t="shared" si="2"/>
        <v>303.89529799999997</v>
      </c>
      <c r="M14" s="19">
        <f t="shared" si="2"/>
        <v>75973.824500000002</v>
      </c>
    </row>
    <row r="15" spans="1:13" x14ac:dyDescent="0.35">
      <c r="A15" s="2" t="s">
        <v>19</v>
      </c>
      <c r="B15" s="7">
        <v>225</v>
      </c>
      <c r="C15" s="7">
        <v>225</v>
      </c>
      <c r="H15" s="6"/>
    </row>
    <row r="16" spans="1:13" x14ac:dyDescent="0.35">
      <c r="A16" s="20" t="s">
        <v>193</v>
      </c>
      <c r="B16" s="21">
        <v>8</v>
      </c>
      <c r="C16" s="21">
        <v>8</v>
      </c>
      <c r="H16" s="6"/>
    </row>
    <row r="17" spans="1:8" x14ac:dyDescent="0.35">
      <c r="D17" s="6"/>
      <c r="H17" s="5"/>
    </row>
    <row r="18" spans="1:8" x14ac:dyDescent="0.35">
      <c r="A18" s="20" t="s">
        <v>31</v>
      </c>
      <c r="B18" s="21" t="s">
        <v>32</v>
      </c>
      <c r="C18" s="21" t="s">
        <v>32</v>
      </c>
      <c r="H18" s="5"/>
    </row>
    <row r="19" spans="1:8" x14ac:dyDescent="0.35">
      <c r="A19" s="1" t="s">
        <v>29</v>
      </c>
      <c r="B19" s="216">
        <v>3</v>
      </c>
      <c r="C19" s="216">
        <f>'Producer Set Up'!$C$5</f>
        <v>3.1</v>
      </c>
      <c r="D19" s="5"/>
      <c r="H19" s="5"/>
    </row>
    <row r="20" spans="1:8" x14ac:dyDescent="0.35">
      <c r="A20" s="2" t="s">
        <v>15</v>
      </c>
      <c r="B20" s="6">
        <v>0.85</v>
      </c>
      <c r="C20" s="6">
        <f>$B$20</f>
        <v>0.85</v>
      </c>
      <c r="D20" s="6"/>
      <c r="H20" s="5"/>
    </row>
    <row r="21" spans="1:8" x14ac:dyDescent="0.35">
      <c r="A21" s="2" t="s">
        <v>16</v>
      </c>
      <c r="B21" s="6">
        <v>0.85</v>
      </c>
      <c r="C21" s="6">
        <f>$B$21</f>
        <v>0.85</v>
      </c>
      <c r="D21" s="6"/>
      <c r="H21" s="5"/>
    </row>
    <row r="22" spans="1:8" x14ac:dyDescent="0.35">
      <c r="A22" s="1" t="s">
        <v>27</v>
      </c>
      <c r="B22" s="216">
        <v>0</v>
      </c>
      <c r="C22" s="216">
        <f>'Producer Set Up'!$C$6</f>
        <v>0</v>
      </c>
      <c r="D22" s="152" t="s">
        <v>267</v>
      </c>
      <c r="E22" s="28"/>
      <c r="F22" s="37"/>
      <c r="G22" s="37"/>
      <c r="H22" s="5"/>
    </row>
    <row r="23" spans="1:8" x14ac:dyDescent="0.35">
      <c r="A23" s="2" t="s">
        <v>269</v>
      </c>
      <c r="B23" s="216">
        <v>2.593</v>
      </c>
      <c r="C23" s="216">
        <f>$B$23</f>
        <v>2.593</v>
      </c>
      <c r="E23" s="28"/>
      <c r="F23" s="37"/>
      <c r="G23" s="37"/>
    </row>
    <row r="24" spans="1:8" x14ac:dyDescent="0.35">
      <c r="A24" s="2" t="s">
        <v>270</v>
      </c>
      <c r="B24" s="6">
        <v>0.378</v>
      </c>
      <c r="C24" s="6">
        <f>B24</f>
        <v>0.378</v>
      </c>
      <c r="E24" s="28"/>
      <c r="F24" s="37"/>
      <c r="G24" s="37"/>
    </row>
    <row r="25" spans="1:8" x14ac:dyDescent="0.35">
      <c r="A25" s="2" t="s">
        <v>271</v>
      </c>
      <c r="B25" s="6">
        <v>0.378</v>
      </c>
      <c r="C25" s="6">
        <f t="shared" ref="C25:C26" si="3">B25</f>
        <v>0.378</v>
      </c>
      <c r="E25" s="28"/>
      <c r="F25" s="37"/>
      <c r="G25" s="37"/>
    </row>
    <row r="26" spans="1:8" x14ac:dyDescent="0.35">
      <c r="A26" s="2" t="s">
        <v>272</v>
      </c>
      <c r="B26" s="6">
        <v>0.378</v>
      </c>
      <c r="C26" s="6">
        <f t="shared" si="3"/>
        <v>0.378</v>
      </c>
      <c r="E26" s="28"/>
      <c r="F26" s="37"/>
      <c r="G26" s="37"/>
    </row>
    <row r="27" spans="1:8" x14ac:dyDescent="0.35">
      <c r="E27" s="28"/>
      <c r="F27" s="37"/>
      <c r="G27" s="37"/>
    </row>
    <row r="28" spans="1:8" x14ac:dyDescent="0.35">
      <c r="E28" s="31"/>
      <c r="F28" s="98"/>
      <c r="G28" s="98"/>
    </row>
    <row r="29" spans="1:8" x14ac:dyDescent="0.35">
      <c r="E29" s="1"/>
      <c r="F29" s="1"/>
    </row>
    <row r="30" spans="1:8" x14ac:dyDescent="0.35">
      <c r="E30" s="1"/>
      <c r="F30" s="1"/>
    </row>
    <row r="31" spans="1:8" x14ac:dyDescent="0.35">
      <c r="E31" s="1"/>
      <c r="F31" s="1"/>
    </row>
    <row r="32" spans="1:8" x14ac:dyDescent="0.35">
      <c r="E32" s="1"/>
      <c r="F32" s="1"/>
    </row>
    <row r="33" spans="5:7" x14ac:dyDescent="0.35">
      <c r="E33" s="2"/>
      <c r="F33" s="2"/>
      <c r="G33" s="7"/>
    </row>
    <row r="34" spans="5:7" x14ac:dyDescent="0.35">
      <c r="E34" s="2"/>
      <c r="F34" s="2"/>
      <c r="G34" s="7"/>
    </row>
    <row r="35" spans="5:7" x14ac:dyDescent="0.35">
      <c r="E35" s="2"/>
      <c r="F35" s="2"/>
      <c r="G35" s="7"/>
    </row>
    <row r="36" spans="5:7" x14ac:dyDescent="0.35">
      <c r="E36" s="4"/>
      <c r="F36" s="4"/>
      <c r="G36" s="7"/>
    </row>
    <row r="37" spans="5:7" x14ac:dyDescent="0.35">
      <c r="E37" s="2" t="s">
        <v>227</v>
      </c>
      <c r="F37" s="2"/>
      <c r="G37" s="7"/>
    </row>
    <row r="38" spans="5:7" x14ac:dyDescent="0.35">
      <c r="E38" s="2"/>
      <c r="F38" s="2"/>
      <c r="G38" s="7"/>
    </row>
  </sheetData>
  <sheetProtection algorithmName="SHA-512" hashValue="r/LhERfHgmzvDp0Ah6LFOjQdf8/mKjfF5BPbXITlh49IH+3SQQrtLy70J3OZ9NOedKRsC83gG0wEXnqvp8izwg==" saltValue="PgmNGJ8zChft6VYa4QJKlA==" spinCount="100000" sheet="1" objects="1" scenarios="1"/>
  <mergeCells count="5">
    <mergeCell ref="I1:M1"/>
    <mergeCell ref="A1:C1"/>
    <mergeCell ref="J3:K3"/>
    <mergeCell ref="L3:M3"/>
    <mergeCell ref="E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C232C-8CBC-43AE-857A-91C9DCA397A3}">
  <dimension ref="A1:I43"/>
  <sheetViews>
    <sheetView topLeftCell="A2" zoomScaleNormal="100" workbookViewId="0">
      <selection activeCell="E23" sqref="E23"/>
    </sheetView>
  </sheetViews>
  <sheetFormatPr defaultRowHeight="14.5" x14ac:dyDescent="0.35"/>
  <cols>
    <col min="1" max="1" width="45.1796875" style="124" bestFit="1" customWidth="1"/>
    <col min="2" max="3" width="8.7265625" style="125"/>
    <col min="4" max="4" width="8.7265625" style="124"/>
    <col min="5" max="5" width="34.26953125" style="124" bestFit="1" customWidth="1"/>
    <col min="6" max="6" width="7.6328125" style="124" customWidth="1"/>
    <col min="7" max="16384" width="8.7265625" style="124"/>
  </cols>
  <sheetData>
    <row r="1" spans="1:9" ht="31.5" customHeight="1" x14ac:dyDescent="0.35">
      <c r="A1" s="239" t="s">
        <v>56</v>
      </c>
      <c r="B1" s="239"/>
      <c r="C1" s="239"/>
      <c r="E1" s="241" t="s">
        <v>50</v>
      </c>
      <c r="F1" s="241"/>
      <c r="G1" s="241"/>
      <c r="H1" s="241"/>
      <c r="I1" s="241"/>
    </row>
    <row r="2" spans="1:9" x14ac:dyDescent="0.35">
      <c r="E2" s="141"/>
      <c r="F2" s="243" t="s">
        <v>224</v>
      </c>
      <c r="G2" s="243"/>
      <c r="H2" s="242" t="s">
        <v>225</v>
      </c>
      <c r="I2" s="242"/>
    </row>
    <row r="3" spans="1:9" x14ac:dyDescent="0.35">
      <c r="B3" s="126" t="s">
        <v>224</v>
      </c>
      <c r="C3" s="127" t="s">
        <v>225</v>
      </c>
      <c r="E3" s="142" t="s">
        <v>49</v>
      </c>
      <c r="F3" s="143" t="s">
        <v>25</v>
      </c>
      <c r="G3" s="144" t="s">
        <v>24</v>
      </c>
      <c r="H3" s="145" t="s">
        <v>25</v>
      </c>
      <c r="I3" s="146" t="s">
        <v>24</v>
      </c>
    </row>
    <row r="4" spans="1:9" x14ac:dyDescent="0.35">
      <c r="A4" s="128" t="s">
        <v>39</v>
      </c>
      <c r="B4" s="156" t="s">
        <v>234</v>
      </c>
      <c r="C4" s="130" t="s">
        <v>234</v>
      </c>
      <c r="E4" s="147" t="s">
        <v>51</v>
      </c>
      <c r="F4" s="148">
        <f>B32*B7</f>
        <v>60</v>
      </c>
      <c r="G4" s="149">
        <f>F4*Revenue!$B$5</f>
        <v>15000</v>
      </c>
      <c r="H4" s="148">
        <f>C32*C7</f>
        <v>60</v>
      </c>
      <c r="I4" s="149">
        <f>H4*Revenue!$C$5</f>
        <v>15000</v>
      </c>
    </row>
    <row r="5" spans="1:9" x14ac:dyDescent="0.35">
      <c r="A5" s="131" t="s">
        <v>195</v>
      </c>
      <c r="B5" s="132">
        <f>Revenue!B11</f>
        <v>170</v>
      </c>
      <c r="C5" s="133">
        <v>170</v>
      </c>
      <c r="E5" s="147" t="s">
        <v>266</v>
      </c>
      <c r="F5" s="148">
        <f>B37*(B12+B15)</f>
        <v>39.3384</v>
      </c>
      <c r="G5" s="149">
        <f>F5*Revenue!$B$5</f>
        <v>9834.6</v>
      </c>
      <c r="H5" s="148">
        <f>C37*(C12+C15)</f>
        <v>29.503799999999998</v>
      </c>
      <c r="I5" s="149">
        <f>H5*Revenue!$C$5</f>
        <v>7375.95</v>
      </c>
    </row>
    <row r="6" spans="1:9" x14ac:dyDescent="0.35">
      <c r="A6" s="131" t="s">
        <v>196</v>
      </c>
      <c r="B6" s="132">
        <f>Revenue!B15</f>
        <v>225</v>
      </c>
      <c r="C6" s="133">
        <v>225</v>
      </c>
      <c r="E6" s="147" t="s">
        <v>283</v>
      </c>
      <c r="F6" s="148">
        <f>B7*B41</f>
        <v>5.5</v>
      </c>
      <c r="G6" s="149">
        <f>F6*Revenue!$B$5</f>
        <v>1375</v>
      </c>
      <c r="H6" s="148">
        <f>C7*C41</f>
        <v>5.5</v>
      </c>
      <c r="I6" s="149">
        <f>H6*Revenue!$C$5</f>
        <v>1375</v>
      </c>
    </row>
    <row r="7" spans="1:9" ht="15" thickBot="1" x14ac:dyDescent="0.4">
      <c r="A7" s="124" t="s">
        <v>34</v>
      </c>
      <c r="B7" s="169">
        <v>2</v>
      </c>
      <c r="C7" s="133">
        <v>2</v>
      </c>
      <c r="E7" s="147" t="s">
        <v>52</v>
      </c>
      <c r="F7" s="148">
        <f>B38*(B19+B22)</f>
        <v>36.879749999999994</v>
      </c>
      <c r="G7" s="149">
        <f>F7*Revenue!$B$5</f>
        <v>9219.9374999999982</v>
      </c>
      <c r="H7" s="148">
        <f>C38*(C19+C22)</f>
        <v>35.650424999999991</v>
      </c>
      <c r="I7" s="149">
        <f>H7*Revenue!$C$5</f>
        <v>8912.6062499999971</v>
      </c>
    </row>
    <row r="8" spans="1:9" ht="15" thickBot="1" x14ac:dyDescent="0.4">
      <c r="A8" s="124" t="s">
        <v>36</v>
      </c>
      <c r="B8" s="169">
        <v>180</v>
      </c>
      <c r="C8" s="153">
        <v>180</v>
      </c>
      <c r="E8" s="147" t="s">
        <v>54</v>
      </c>
      <c r="F8" s="148">
        <f>B39*(B24+B26)</f>
        <v>6.0268800000000002</v>
      </c>
      <c r="G8" s="149">
        <f>F8*Revenue!$B$5</f>
        <v>1506.72</v>
      </c>
      <c r="H8" s="148">
        <f>C39*(C24+C26)</f>
        <v>6.0268800000000002</v>
      </c>
      <c r="I8" s="149">
        <f>H8*Revenue!$C$5</f>
        <v>1506.72</v>
      </c>
    </row>
    <row r="9" spans="1:9" ht="15" thickBot="1" x14ac:dyDescent="0.4">
      <c r="A9" s="124" t="s">
        <v>55</v>
      </c>
      <c r="B9" s="169">
        <f>365-B8</f>
        <v>185</v>
      </c>
      <c r="C9" s="133">
        <f>365-C8</f>
        <v>185</v>
      </c>
      <c r="E9" s="147" t="s">
        <v>53</v>
      </c>
      <c r="F9" s="148">
        <f>(B40*B28*B29*B27)/Revenue!B5</f>
        <v>7.8839999999999995</v>
      </c>
      <c r="G9" s="149">
        <f>F9*Revenue!$B$5</f>
        <v>1970.9999999999998</v>
      </c>
      <c r="H9" s="148">
        <f>(C40*C29*C28*C27)/Revenue!C5</f>
        <v>7.8839999999999995</v>
      </c>
      <c r="I9" s="149">
        <f>H9*Revenue!$C$5</f>
        <v>1970.9999999999998</v>
      </c>
    </row>
    <row r="10" spans="1:9" ht="15" thickBot="1" x14ac:dyDescent="0.4">
      <c r="A10" s="124" t="s">
        <v>250</v>
      </c>
      <c r="B10" s="173">
        <v>0.03</v>
      </c>
      <c r="C10" s="154">
        <v>0.03</v>
      </c>
      <c r="E10" s="142" t="s">
        <v>162</v>
      </c>
      <c r="F10" s="150">
        <f>SUM(F4:F9)</f>
        <v>155.62903</v>
      </c>
      <c r="G10" s="150">
        <f>SUM(G4:G9)</f>
        <v>38907.2575</v>
      </c>
      <c r="H10" s="134">
        <f>SUM(H4:H9)</f>
        <v>144.56510499999999</v>
      </c>
      <c r="I10" s="134">
        <f>SUM(I4:I9)</f>
        <v>36141.276249999995</v>
      </c>
    </row>
    <row r="11" spans="1:9" x14ac:dyDescent="0.35">
      <c r="A11" s="124" t="s">
        <v>256</v>
      </c>
      <c r="B11" s="169">
        <f>B10*B5</f>
        <v>5.0999999999999996</v>
      </c>
      <c r="C11" s="133">
        <f>C10*C5</f>
        <v>5.0999999999999996</v>
      </c>
    </row>
    <row r="12" spans="1:9" x14ac:dyDescent="0.35">
      <c r="A12" s="124" t="s">
        <v>251</v>
      </c>
      <c r="B12" s="170">
        <f>B11*B9</f>
        <v>943.49999999999989</v>
      </c>
      <c r="C12" s="125">
        <f>C11*C9</f>
        <v>943.49999999999989</v>
      </c>
      <c r="E12" s="240" t="s">
        <v>197</v>
      </c>
      <c r="F12" s="240"/>
      <c r="G12" s="240"/>
      <c r="H12" s="240"/>
      <c r="I12" s="240"/>
    </row>
    <row r="13" spans="1:9" x14ac:dyDescent="0.35">
      <c r="A13" s="124" t="s">
        <v>257</v>
      </c>
      <c r="B13" s="169">
        <f>B10*B6</f>
        <v>6.75</v>
      </c>
      <c r="C13" s="133">
        <f>C10*C6</f>
        <v>6.75</v>
      </c>
    </row>
    <row r="14" spans="1:9" x14ac:dyDescent="0.35">
      <c r="A14" s="124" t="s">
        <v>258</v>
      </c>
      <c r="B14" s="132">
        <f>B13*B9</f>
        <v>1248.75</v>
      </c>
      <c r="C14" s="135">
        <f>C13*C9</f>
        <v>1248.75</v>
      </c>
      <c r="E14" s="128" t="s">
        <v>198</v>
      </c>
      <c r="F14" s="143" t="s">
        <v>25</v>
      </c>
      <c r="G14" s="144" t="s">
        <v>24</v>
      </c>
      <c r="H14" s="145" t="s">
        <v>25</v>
      </c>
      <c r="I14" s="146" t="s">
        <v>24</v>
      </c>
    </row>
    <row r="15" spans="1:9" x14ac:dyDescent="0.35">
      <c r="A15" s="124" t="s">
        <v>255</v>
      </c>
      <c r="B15" s="169">
        <f>B14/Revenue!B13</f>
        <v>39.96</v>
      </c>
      <c r="C15" s="133">
        <f>C14/Revenue!C13</f>
        <v>39.96</v>
      </c>
      <c r="E15" s="147" t="s">
        <v>179</v>
      </c>
      <c r="F15" s="148">
        <f>F4*(B42/365)*365</f>
        <v>3.8999999999999995</v>
      </c>
      <c r="G15" s="149">
        <f>F15*Revenue!$B$5</f>
        <v>974.99999999999989</v>
      </c>
      <c r="H15" s="148">
        <f>H4*(C42/365)*365</f>
        <v>3.8999999999999995</v>
      </c>
      <c r="I15" s="149">
        <f>H15*Revenue!$C$5</f>
        <v>974.99999999999989</v>
      </c>
    </row>
    <row r="16" spans="1:9" ht="15" thickBot="1" x14ac:dyDescent="0.4">
      <c r="B16" s="169"/>
      <c r="C16" s="133"/>
      <c r="E16" s="147" t="s">
        <v>180</v>
      </c>
      <c r="F16" s="148">
        <f>F5*(B42/365)*B9</f>
        <v>1.2960116712328769</v>
      </c>
      <c r="G16" s="149">
        <f>F16*Revenue!$B$5</f>
        <v>324.00291780821919</v>
      </c>
      <c r="H16" s="148">
        <f>H5*(C42/365)*C9</f>
        <v>0.97200875342465742</v>
      </c>
      <c r="I16" s="149">
        <f>H16*Revenue!$C$5</f>
        <v>243.00218835616437</v>
      </c>
    </row>
    <row r="17" spans="1:9" ht="15" thickBot="1" x14ac:dyDescent="0.4">
      <c r="A17" s="124" t="s">
        <v>259</v>
      </c>
      <c r="B17" s="174">
        <v>1.4999999999999999E-2</v>
      </c>
      <c r="C17" s="155">
        <v>1.4999999999999999E-2</v>
      </c>
      <c r="E17" s="147" t="s">
        <v>284</v>
      </c>
      <c r="F17" s="148">
        <f>F6*(B42/365)*365</f>
        <v>0.35749999999999998</v>
      </c>
      <c r="G17" s="149">
        <f>F17*Revenue!$B$5</f>
        <v>89.375</v>
      </c>
      <c r="H17" s="148">
        <f>H6*(C42/365)*365</f>
        <v>0.35749999999999998</v>
      </c>
      <c r="I17" s="149">
        <f>H17*Revenue!$C$5</f>
        <v>89.375</v>
      </c>
    </row>
    <row r="18" spans="1:9" x14ac:dyDescent="0.35">
      <c r="A18" s="124" t="s">
        <v>260</v>
      </c>
      <c r="B18" s="169">
        <f>B5*B17</f>
        <v>2.5499999999999998</v>
      </c>
      <c r="C18" s="133">
        <v>2.5499999999999998</v>
      </c>
      <c r="E18" s="147" t="s">
        <v>183</v>
      </c>
      <c r="F18" s="148">
        <f>F7*($B$42/365)*B9</f>
        <v>1.2150109417808217</v>
      </c>
      <c r="G18" s="149">
        <f>F18*Revenue!$B$5</f>
        <v>303.75273544520542</v>
      </c>
      <c r="H18" s="148">
        <f>H7*(C42/365)*C9</f>
        <v>1.1745105770547943</v>
      </c>
      <c r="I18" s="149">
        <f>H18*Revenue!$C$5</f>
        <v>293.62764426369858</v>
      </c>
    </row>
    <row r="19" spans="1:9" x14ac:dyDescent="0.35">
      <c r="A19" s="124" t="s">
        <v>252</v>
      </c>
      <c r="B19" s="169">
        <f>B18*B9</f>
        <v>471.74999999999994</v>
      </c>
      <c r="C19" s="133">
        <f>C18*C9</f>
        <v>471.74999999999994</v>
      </c>
      <c r="E19" s="147" t="s">
        <v>184</v>
      </c>
      <c r="F19" s="148">
        <f>F8*(B42/365)*365</f>
        <v>0.39174720000000002</v>
      </c>
      <c r="G19" s="149">
        <f>F19*Revenue!$B$5</f>
        <v>97.936800000000005</v>
      </c>
      <c r="H19" s="148">
        <f>H8*(C42/365)*365</f>
        <v>0.39174720000000002</v>
      </c>
      <c r="I19" s="149">
        <f>H19*Revenue!$C$5</f>
        <v>97.936800000000005</v>
      </c>
    </row>
    <row r="20" spans="1:9" x14ac:dyDescent="0.35">
      <c r="A20" s="124" t="s">
        <v>261</v>
      </c>
      <c r="B20" s="171">
        <f>B17*B6</f>
        <v>3.375</v>
      </c>
      <c r="C20" s="137">
        <f>C17*C6</f>
        <v>3.375</v>
      </c>
      <c r="E20" s="147" t="s">
        <v>181</v>
      </c>
      <c r="F20" s="148">
        <f>F8*(B42/365)*B8</f>
        <v>0.19319040000000001</v>
      </c>
      <c r="G20" s="149">
        <f>F20*Revenue!$B$5</f>
        <v>48.297600000000003</v>
      </c>
      <c r="H20" s="148">
        <f>H8*(C42/365)*C8</f>
        <v>0.19319040000000001</v>
      </c>
      <c r="I20" s="149">
        <f>H20*Revenue!$C$5</f>
        <v>48.297600000000003</v>
      </c>
    </row>
    <row r="21" spans="1:9" x14ac:dyDescent="0.35">
      <c r="A21" s="124" t="s">
        <v>253</v>
      </c>
      <c r="B21" s="172">
        <f>B20*B9</f>
        <v>624.375</v>
      </c>
      <c r="C21" s="138">
        <f>C20*C9</f>
        <v>624.375</v>
      </c>
      <c r="E21" s="142" t="s">
        <v>182</v>
      </c>
      <c r="F21" s="136">
        <f>SUM(F15:F20)</f>
        <v>7.3534602130136975</v>
      </c>
      <c r="G21" s="134">
        <f>SUM(G15:G20)</f>
        <v>1838.3650532534245</v>
      </c>
      <c r="H21" s="136">
        <f>SUM(H15:H20)</f>
        <v>6.9889569304794517</v>
      </c>
      <c r="I21" s="134">
        <f>SUM(I15:I20)</f>
        <v>1747.2392326198628</v>
      </c>
    </row>
    <row r="22" spans="1:9" ht="15" thickBot="1" x14ac:dyDescent="0.4">
      <c r="A22" s="124" t="s">
        <v>254</v>
      </c>
      <c r="B22" s="169">
        <f>B21/Revenue!B13</f>
        <v>19.98</v>
      </c>
      <c r="C22" s="133">
        <f>C21/Revenue!C13</f>
        <v>19.98</v>
      </c>
    </row>
    <row r="23" spans="1:9" ht="15" thickBot="1" x14ac:dyDescent="0.4">
      <c r="A23" s="124" t="s">
        <v>262</v>
      </c>
      <c r="B23" s="169">
        <v>0.02</v>
      </c>
      <c r="C23" s="153">
        <v>0.02</v>
      </c>
    </row>
    <row r="24" spans="1:9" x14ac:dyDescent="0.35">
      <c r="A24" s="124" t="s">
        <v>263</v>
      </c>
      <c r="B24" s="169">
        <f>B23*(B8+B9)</f>
        <v>7.3</v>
      </c>
      <c r="C24" s="133">
        <f>C23*(C8+C9)</f>
        <v>7.3</v>
      </c>
    </row>
    <row r="25" spans="1:9" x14ac:dyDescent="0.35">
      <c r="A25" s="124" t="s">
        <v>264</v>
      </c>
      <c r="B25" s="169">
        <f>B23*(B8+B9)</f>
        <v>7.3</v>
      </c>
      <c r="C25" s="133">
        <f>C23*(C8+C9)</f>
        <v>7.3</v>
      </c>
    </row>
    <row r="26" spans="1:9" x14ac:dyDescent="0.35">
      <c r="A26" s="124" t="s">
        <v>265</v>
      </c>
      <c r="B26" s="171">
        <f>B25/Revenue!B13</f>
        <v>0.2336</v>
      </c>
      <c r="C26" s="137">
        <f>C25/Revenue!C13</f>
        <v>0.2336</v>
      </c>
      <c r="E26" s="131"/>
    </row>
    <row r="27" spans="1:9" x14ac:dyDescent="0.35">
      <c r="A27" s="124" t="s">
        <v>38</v>
      </c>
      <c r="B27" s="169">
        <v>365</v>
      </c>
      <c r="C27" s="133">
        <v>365</v>
      </c>
      <c r="E27" s="131"/>
    </row>
    <row r="28" spans="1:9" ht="15" thickBot="1" x14ac:dyDescent="0.4">
      <c r="A28" s="124" t="s">
        <v>169</v>
      </c>
      <c r="B28" s="132">
        <f>ROUND(Revenue!B5/100,0)</f>
        <v>3</v>
      </c>
      <c r="C28" s="133">
        <f>ROUND(Revenue!C5/100,0)</f>
        <v>3</v>
      </c>
      <c r="E28" s="131"/>
    </row>
    <row r="29" spans="1:9" ht="15" thickBot="1" x14ac:dyDescent="0.4">
      <c r="A29" s="128" t="s">
        <v>37</v>
      </c>
      <c r="B29" s="139">
        <v>3</v>
      </c>
      <c r="C29" s="153">
        <v>3</v>
      </c>
      <c r="E29" s="131"/>
    </row>
    <row r="30" spans="1:9" x14ac:dyDescent="0.35">
      <c r="A30" s="140"/>
      <c r="B30" s="133"/>
      <c r="C30" s="133"/>
      <c r="E30" s="131"/>
    </row>
    <row r="31" spans="1:9" x14ac:dyDescent="0.35">
      <c r="A31" s="128" t="s">
        <v>31</v>
      </c>
      <c r="B31" s="129" t="s">
        <v>32</v>
      </c>
      <c r="C31" s="130" t="s">
        <v>32</v>
      </c>
      <c r="E31" s="131"/>
    </row>
    <row r="32" spans="1:9" x14ac:dyDescent="0.35">
      <c r="A32" s="124" t="s">
        <v>35</v>
      </c>
      <c r="B32" s="169">
        <v>30</v>
      </c>
      <c r="C32" s="171">
        <f>'Producer Set Up'!$C$7</f>
        <v>30</v>
      </c>
    </row>
    <row r="33" spans="1:5" x14ac:dyDescent="0.35">
      <c r="A33" s="124" t="s">
        <v>42</v>
      </c>
      <c r="B33" s="169">
        <v>80</v>
      </c>
      <c r="C33" s="171">
        <f>'Producer Set Up'!C8</f>
        <v>60</v>
      </c>
    </row>
    <row r="34" spans="1:5" x14ac:dyDescent="0.35">
      <c r="A34" s="124" t="s">
        <v>40</v>
      </c>
      <c r="B34" s="169">
        <v>150</v>
      </c>
      <c r="C34" s="171">
        <f>'Producer Set Up'!$C$9</f>
        <v>145</v>
      </c>
    </row>
    <row r="35" spans="1:5" x14ac:dyDescent="0.35">
      <c r="A35" s="124" t="s">
        <v>44</v>
      </c>
      <c r="B35" s="169">
        <v>40</v>
      </c>
      <c r="C35" s="169">
        <v>40</v>
      </c>
    </row>
    <row r="36" spans="1:5" x14ac:dyDescent="0.35">
      <c r="A36" s="124" t="s">
        <v>46</v>
      </c>
      <c r="B36" s="169">
        <v>30</v>
      </c>
      <c r="C36" s="169">
        <v>30</v>
      </c>
    </row>
    <row r="37" spans="1:5" x14ac:dyDescent="0.35">
      <c r="A37" s="124" t="s">
        <v>43</v>
      </c>
      <c r="B37" s="171">
        <f>+B33/2000</f>
        <v>0.04</v>
      </c>
      <c r="C37" s="169">
        <f>+C33/2000</f>
        <v>0.03</v>
      </c>
      <c r="E37" s="124" t="s">
        <v>292</v>
      </c>
    </row>
    <row r="38" spans="1:5" x14ac:dyDescent="0.35">
      <c r="A38" s="124" t="s">
        <v>41</v>
      </c>
      <c r="B38" s="169">
        <f>+B34/2000</f>
        <v>7.4999999999999997E-2</v>
      </c>
      <c r="C38" s="169">
        <f>+C34/2000</f>
        <v>7.2499999999999995E-2</v>
      </c>
    </row>
    <row r="39" spans="1:5" x14ac:dyDescent="0.35">
      <c r="A39" s="124" t="s">
        <v>45</v>
      </c>
      <c r="B39" s="169">
        <f>+B35/50</f>
        <v>0.8</v>
      </c>
      <c r="C39" s="169">
        <f>+C35/50</f>
        <v>0.8</v>
      </c>
    </row>
    <row r="40" spans="1:5" x14ac:dyDescent="0.35">
      <c r="A40" s="124" t="s">
        <v>47</v>
      </c>
      <c r="B40" s="169">
        <f>B36/50</f>
        <v>0.6</v>
      </c>
      <c r="C40" s="169">
        <f>C36/50</f>
        <v>0.6</v>
      </c>
    </row>
    <row r="41" spans="1:5" x14ac:dyDescent="0.35">
      <c r="A41" s="124" t="s">
        <v>282</v>
      </c>
      <c r="B41" s="169">
        <v>2.75</v>
      </c>
      <c r="C41" s="169">
        <v>2.75</v>
      </c>
    </row>
    <row r="42" spans="1:5" x14ac:dyDescent="0.35">
      <c r="A42" s="128" t="s">
        <v>48</v>
      </c>
      <c r="B42" s="151">
        <v>6.5000000000000002E-2</v>
      </c>
      <c r="C42" s="151">
        <f>'Producer Set Up'!$C$16</f>
        <v>6.5000000000000002E-2</v>
      </c>
    </row>
    <row r="43" spans="1:5" x14ac:dyDescent="0.35">
      <c r="B43" s="133"/>
    </row>
  </sheetData>
  <sheetProtection algorithmName="SHA-512" hashValue="0gLjcuuIpPHKb4Vi3w1bl0b0wEXvlU+NdgAyq8gAvgnvUC/oMczeuj9SrocVZX6XCL8CFJ3glEcVNMy0hGk7Ew==" saltValue="enfF4A7N2UUBvjh3EZ5VPw==" spinCount="100000" sheet="1" objects="1" scenarios="1"/>
  <mergeCells count="5">
    <mergeCell ref="A1:C1"/>
    <mergeCell ref="E12:I12"/>
    <mergeCell ref="E1:I1"/>
    <mergeCell ref="H2:I2"/>
    <mergeCell ref="F2:G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2D9BC-FB9F-482F-AABA-580DDE753ACB}">
  <dimension ref="A1:Q26"/>
  <sheetViews>
    <sheetView zoomScale="90" zoomScaleNormal="90" workbookViewId="0">
      <selection activeCell="F12" sqref="F12"/>
    </sheetView>
  </sheetViews>
  <sheetFormatPr defaultRowHeight="15.5" x14ac:dyDescent="0.35"/>
  <cols>
    <col min="1" max="1" width="41.36328125" style="200" bestFit="1" customWidth="1"/>
    <col min="2" max="2" width="9.26953125" style="28" customWidth="1"/>
    <col min="3" max="3" width="9.7265625" style="28" bestFit="1" customWidth="1"/>
    <col min="4" max="4" width="11.6328125" style="28" customWidth="1"/>
    <col min="5" max="5" width="8.7265625" style="28"/>
    <col min="6" max="6" width="31.08984375" style="28" bestFit="1" customWidth="1"/>
    <col min="7" max="8" width="8.7265625" style="28"/>
    <col min="9" max="9" width="42.7265625" style="28" bestFit="1" customWidth="1"/>
    <col min="10" max="15" width="8.7265625" style="28"/>
    <col min="16" max="16" width="31.08984375" style="28" bestFit="1" customWidth="1"/>
    <col min="17" max="17" width="11.1796875" style="62" bestFit="1" customWidth="1"/>
    <col min="18" max="16384" width="8.7265625" style="28"/>
  </cols>
  <sheetData>
    <row r="1" spans="1:17" ht="32" customHeight="1" x14ac:dyDescent="0.35">
      <c r="A1" s="246" t="s">
        <v>306</v>
      </c>
      <c r="B1" s="246"/>
      <c r="C1" s="246"/>
      <c r="D1" s="246"/>
      <c r="F1" s="247" t="s">
        <v>353</v>
      </c>
      <c r="G1" s="247"/>
      <c r="I1" s="236" t="s">
        <v>199</v>
      </c>
      <c r="J1" s="236"/>
      <c r="K1" s="236"/>
      <c r="L1" s="236"/>
      <c r="M1" s="236"/>
    </row>
    <row r="2" spans="1:17" x14ac:dyDescent="0.35">
      <c r="G2" s="62"/>
      <c r="I2" s="3"/>
      <c r="J2" s="244" t="s">
        <v>224</v>
      </c>
      <c r="K2" s="244"/>
      <c r="L2" s="245" t="s">
        <v>225</v>
      </c>
      <c r="M2" s="245"/>
    </row>
    <row r="3" spans="1:17" ht="32.5" customHeight="1" x14ac:dyDescent="0.35">
      <c r="A3" s="206" t="s">
        <v>301</v>
      </c>
      <c r="B3" s="207" t="s">
        <v>300</v>
      </c>
      <c r="C3" s="207" t="s">
        <v>299</v>
      </c>
      <c r="D3" s="207" t="s">
        <v>307</v>
      </c>
      <c r="F3" s="30" t="s">
        <v>345</v>
      </c>
      <c r="G3" s="209" t="s">
        <v>350</v>
      </c>
      <c r="I3" s="16" t="s">
        <v>59</v>
      </c>
      <c r="J3" s="88" t="s">
        <v>25</v>
      </c>
      <c r="K3" s="89" t="s">
        <v>24</v>
      </c>
      <c r="L3" s="90" t="s">
        <v>25</v>
      </c>
      <c r="M3" s="91" t="s">
        <v>24</v>
      </c>
    </row>
    <row r="4" spans="1:17" ht="16" thickBot="1" x14ac:dyDescent="0.4">
      <c r="A4" s="200" t="s">
        <v>302</v>
      </c>
      <c r="B4" s="62">
        <v>250</v>
      </c>
      <c r="C4" s="62">
        <v>500</v>
      </c>
      <c r="D4" s="62">
        <v>960</v>
      </c>
      <c r="F4" s="28" t="s">
        <v>346</v>
      </c>
      <c r="G4" s="62">
        <f>(55+85)/2</f>
        <v>70</v>
      </c>
      <c r="I4" s="31" t="s">
        <v>57</v>
      </c>
      <c r="J4" s="27">
        <f>B22</f>
        <v>0.83199999999999996</v>
      </c>
      <c r="K4" s="14">
        <f>J4*Revenue!$B$5</f>
        <v>208</v>
      </c>
      <c r="L4" s="27">
        <f>J4</f>
        <v>0.83199999999999996</v>
      </c>
      <c r="M4" s="14">
        <f>K4</f>
        <v>208</v>
      </c>
    </row>
    <row r="5" spans="1:17" ht="16" thickBot="1" x14ac:dyDescent="0.4">
      <c r="A5" s="210" t="s">
        <v>303</v>
      </c>
      <c r="B5" s="211">
        <v>52</v>
      </c>
      <c r="C5" s="212">
        <v>185</v>
      </c>
      <c r="D5" s="213">
        <v>85</v>
      </c>
      <c r="F5" s="28" t="s">
        <v>348</v>
      </c>
      <c r="G5" s="62">
        <v>30</v>
      </c>
      <c r="I5" s="31" t="s">
        <v>58</v>
      </c>
      <c r="J5" s="27">
        <f>B23</f>
        <v>2.6623999999999998E-2</v>
      </c>
      <c r="K5" s="14">
        <f>J5*Revenue!$B$5</f>
        <v>6.6559999999999997</v>
      </c>
      <c r="L5" s="27">
        <f t="shared" ref="L5:L12" si="0">J5</f>
        <v>2.6623999999999998E-2</v>
      </c>
      <c r="M5" s="14">
        <f t="shared" ref="M5:M12" si="1">K5</f>
        <v>6.6559999999999997</v>
      </c>
    </row>
    <row r="6" spans="1:17" x14ac:dyDescent="0.35">
      <c r="A6" s="200" t="s">
        <v>304</v>
      </c>
      <c r="B6" s="37">
        <f>B5/B4</f>
        <v>0.20799999999999999</v>
      </c>
      <c r="C6" s="62">
        <f>C5/C4</f>
        <v>0.37</v>
      </c>
      <c r="D6" s="37">
        <f>D5/D4</f>
        <v>8.8541666666666671E-2</v>
      </c>
      <c r="F6" s="28" t="s">
        <v>347</v>
      </c>
      <c r="G6" s="62">
        <v>35</v>
      </c>
      <c r="I6" s="31" t="s">
        <v>61</v>
      </c>
      <c r="J6" s="27">
        <f>B24</f>
        <v>1.04</v>
      </c>
      <c r="K6" s="14">
        <f>J6*Revenue!$B$5</f>
        <v>260</v>
      </c>
      <c r="L6" s="27">
        <f t="shared" si="0"/>
        <v>1.04</v>
      </c>
      <c r="M6" s="14">
        <f t="shared" si="1"/>
        <v>260</v>
      </c>
    </row>
    <row r="7" spans="1:17" x14ac:dyDescent="0.35">
      <c r="A7" s="200" t="s">
        <v>305</v>
      </c>
      <c r="B7" s="202" t="s">
        <v>106</v>
      </c>
      <c r="C7" s="202">
        <f>0.1/11</f>
        <v>9.0909090909090922E-3</v>
      </c>
      <c r="D7" s="202">
        <f>3/26</f>
        <v>0.11538461538461539</v>
      </c>
      <c r="F7" s="28" t="s">
        <v>349</v>
      </c>
      <c r="G7" s="62">
        <v>40</v>
      </c>
      <c r="I7" s="201" t="s">
        <v>295</v>
      </c>
      <c r="J7" s="27">
        <f>C22</f>
        <v>0.14295454545454547</v>
      </c>
      <c r="K7" s="14">
        <f>J7*Revenue!$B$5</f>
        <v>35.738636363636367</v>
      </c>
      <c r="L7" s="27">
        <f t="shared" si="0"/>
        <v>0.14295454545454547</v>
      </c>
      <c r="M7" s="14">
        <f t="shared" si="1"/>
        <v>35.738636363636367</v>
      </c>
    </row>
    <row r="8" spans="1:17" x14ac:dyDescent="0.35">
      <c r="A8" s="200" t="s">
        <v>324</v>
      </c>
      <c r="B8" s="203">
        <f>Revenue!$B$11</f>
        <v>170</v>
      </c>
      <c r="C8" s="203">
        <f>$B$8</f>
        <v>170</v>
      </c>
      <c r="D8" s="203">
        <f>$B$8</f>
        <v>170</v>
      </c>
      <c r="F8" s="30" t="s">
        <v>352</v>
      </c>
      <c r="G8" s="209">
        <f>SUM(G4:G7)</f>
        <v>175</v>
      </c>
      <c r="I8" s="201" t="s">
        <v>296</v>
      </c>
      <c r="J8" s="27">
        <f>C23</f>
        <v>6.0545454545454557E-3</v>
      </c>
      <c r="K8" s="14">
        <f>J8*Revenue!$B$5</f>
        <v>1.5136363636363639</v>
      </c>
      <c r="L8" s="27">
        <f t="shared" si="0"/>
        <v>6.0545454545454557E-3</v>
      </c>
      <c r="M8" s="14">
        <f t="shared" si="1"/>
        <v>1.5136363636363639</v>
      </c>
    </row>
    <row r="9" spans="1:17" x14ac:dyDescent="0.35">
      <c r="A9" s="200" t="s">
        <v>325</v>
      </c>
      <c r="B9" s="203">
        <f>Revenue!$B$15</f>
        <v>225</v>
      </c>
      <c r="C9" s="203">
        <f>$B$9</f>
        <v>225</v>
      </c>
      <c r="D9" s="203">
        <f>$B$9</f>
        <v>225</v>
      </c>
      <c r="I9" s="201" t="s">
        <v>321</v>
      </c>
      <c r="J9" s="27">
        <f>C24</f>
        <v>0</v>
      </c>
      <c r="K9" s="14">
        <f>J9*Revenue!$B$5</f>
        <v>0</v>
      </c>
      <c r="L9" s="27">
        <f t="shared" si="0"/>
        <v>0</v>
      </c>
      <c r="M9" s="14">
        <f t="shared" si="1"/>
        <v>0</v>
      </c>
      <c r="Q9" s="203"/>
    </row>
    <row r="10" spans="1:17" x14ac:dyDescent="0.35">
      <c r="A10" s="200" t="s">
        <v>326</v>
      </c>
      <c r="B10" s="203">
        <f>Revenue!$B$9</f>
        <v>75</v>
      </c>
      <c r="C10" s="203">
        <f>$B$10</f>
        <v>75</v>
      </c>
      <c r="D10" s="203">
        <f>$B$10</f>
        <v>75</v>
      </c>
      <c r="I10" s="201" t="s">
        <v>297</v>
      </c>
      <c r="J10" s="27">
        <f>D22</f>
        <v>0.43419471153846156</v>
      </c>
      <c r="K10" s="14">
        <f>J10*Revenue!$B$5</f>
        <v>108.54867788461539</v>
      </c>
      <c r="L10" s="27">
        <f t="shared" si="0"/>
        <v>0.43419471153846156</v>
      </c>
      <c r="M10" s="14">
        <f t="shared" si="1"/>
        <v>108.54867788461539</v>
      </c>
    </row>
    <row r="11" spans="1:17" x14ac:dyDescent="0.35">
      <c r="A11" s="200" t="s">
        <v>308</v>
      </c>
      <c r="B11" s="203">
        <v>2</v>
      </c>
      <c r="C11" s="204">
        <f>C7*C8</f>
        <v>1.5454545454545456</v>
      </c>
      <c r="D11" s="204">
        <f>D7*D8</f>
        <v>19.615384615384617</v>
      </c>
      <c r="I11" s="201" t="s">
        <v>298</v>
      </c>
      <c r="J11" s="27">
        <f t="shared" ref="J11:J12" si="2">D23</f>
        <v>1.8389423076923081E-2</v>
      </c>
      <c r="K11" s="14">
        <f>J11*Revenue!$B$5</f>
        <v>4.5973557692307701</v>
      </c>
      <c r="L11" s="27">
        <f t="shared" si="0"/>
        <v>1.8389423076923081E-2</v>
      </c>
      <c r="M11" s="14">
        <f t="shared" si="1"/>
        <v>4.5973557692307701</v>
      </c>
    </row>
    <row r="12" spans="1:17" x14ac:dyDescent="0.35">
      <c r="A12" s="200" t="s">
        <v>309</v>
      </c>
      <c r="B12" s="203">
        <v>2</v>
      </c>
      <c r="C12" s="204">
        <f>C7*C9</f>
        <v>2.0454545454545459</v>
      </c>
      <c r="D12" s="204">
        <f>D7*D9</f>
        <v>25.961538461538463</v>
      </c>
      <c r="I12" s="201" t="s">
        <v>322</v>
      </c>
      <c r="J12" s="27">
        <f t="shared" si="2"/>
        <v>0</v>
      </c>
      <c r="K12" s="14">
        <f>J12*Revenue!$B$5</f>
        <v>0</v>
      </c>
      <c r="L12" s="27">
        <f t="shared" si="0"/>
        <v>0</v>
      </c>
      <c r="M12" s="14">
        <f t="shared" si="1"/>
        <v>0</v>
      </c>
    </row>
    <row r="13" spans="1:17" x14ac:dyDescent="0.35">
      <c r="A13" s="200" t="s">
        <v>310</v>
      </c>
      <c r="B13" s="203">
        <v>2</v>
      </c>
      <c r="C13" s="204">
        <v>2</v>
      </c>
      <c r="D13" s="204">
        <v>2</v>
      </c>
      <c r="I13" s="201" t="s">
        <v>351</v>
      </c>
      <c r="J13" s="27">
        <f>(G8*'Pasture&amp;Feed'!B28)/Revenue!B5</f>
        <v>2.1</v>
      </c>
      <c r="K13" s="14">
        <f>J13*Revenue!B5</f>
        <v>525</v>
      </c>
      <c r="L13" s="27">
        <f>(G8*'Pasture&amp;Feed'!C28)/Revenue!$C$5</f>
        <v>2.1</v>
      </c>
      <c r="M13" s="14">
        <f>L13*Revenue!C5</f>
        <v>525</v>
      </c>
    </row>
    <row r="14" spans="1:17" x14ac:dyDescent="0.35">
      <c r="A14" s="200" t="s">
        <v>311</v>
      </c>
      <c r="B14" s="204">
        <v>2</v>
      </c>
      <c r="C14" s="62">
        <v>1</v>
      </c>
      <c r="D14" s="62">
        <v>1</v>
      </c>
      <c r="I14" s="16" t="s">
        <v>60</v>
      </c>
      <c r="J14" s="33">
        <f>SUM(J4:J13)</f>
        <v>4.6002172255244762</v>
      </c>
      <c r="K14" s="19">
        <f t="shared" ref="K14:M14" si="3">SUM(K4:K13)</f>
        <v>1150.0543063811187</v>
      </c>
      <c r="L14" s="33">
        <f t="shared" si="3"/>
        <v>4.6002172255244762</v>
      </c>
      <c r="M14" s="19">
        <f t="shared" si="3"/>
        <v>1150.0543063811187</v>
      </c>
    </row>
    <row r="15" spans="1:17" x14ac:dyDescent="0.35">
      <c r="A15" s="200" t="s">
        <v>312</v>
      </c>
      <c r="B15" s="204">
        <v>2</v>
      </c>
      <c r="C15" s="62">
        <v>1</v>
      </c>
      <c r="D15" s="62">
        <v>1</v>
      </c>
    </row>
    <row r="16" spans="1:17" x14ac:dyDescent="0.35">
      <c r="A16" s="200" t="s">
        <v>313</v>
      </c>
      <c r="B16" s="204">
        <v>2</v>
      </c>
      <c r="C16" s="62">
        <v>0</v>
      </c>
      <c r="D16" s="62">
        <v>0</v>
      </c>
      <c r="I16" s="1" t="s">
        <v>163</v>
      </c>
      <c r="J16" s="27">
        <f>J14*(B26/365)*365</f>
        <v>0.29901411965909097</v>
      </c>
      <c r="K16" s="14">
        <f>J16*Revenue!$B$5</f>
        <v>74.753529914772741</v>
      </c>
      <c r="L16" s="27">
        <f>L14*(B26/365)*365</f>
        <v>0.29901411965909097</v>
      </c>
      <c r="M16" s="14">
        <f>L16*Revenue!$C$5</f>
        <v>74.753529914772741</v>
      </c>
    </row>
    <row r="17" spans="1:13" x14ac:dyDescent="0.35">
      <c r="A17" s="200" t="s">
        <v>314</v>
      </c>
      <c r="B17" s="37">
        <f>$B$6*B11*B14</f>
        <v>0.83199999999999996</v>
      </c>
      <c r="C17" s="37">
        <f>$C$6*C11*C14</f>
        <v>0.57181818181818189</v>
      </c>
      <c r="D17" s="37">
        <f>$D$6*D11*D14</f>
        <v>1.7367788461538463</v>
      </c>
      <c r="I17" s="1"/>
      <c r="J17" s="27"/>
      <c r="K17" s="14"/>
      <c r="L17" s="27"/>
      <c r="M17" s="14"/>
    </row>
    <row r="18" spans="1:13" x14ac:dyDescent="0.35">
      <c r="A18" s="200" t="s">
        <v>315</v>
      </c>
      <c r="B18" s="37">
        <f>$B$6*B12*B15</f>
        <v>0.83199999999999996</v>
      </c>
      <c r="C18" s="37">
        <f>$C$6*C12*C15</f>
        <v>0.75681818181818195</v>
      </c>
      <c r="D18" s="37">
        <f>$D$6*D12*D15</f>
        <v>2.298677884615385</v>
      </c>
      <c r="I18" s="1"/>
      <c r="J18" s="27"/>
      <c r="K18" s="14"/>
      <c r="L18" s="27"/>
      <c r="M18" s="14"/>
    </row>
    <row r="19" spans="1:13" x14ac:dyDescent="0.35">
      <c r="A19" s="200" t="s">
        <v>316</v>
      </c>
      <c r="B19" s="37">
        <f>$B$6*B13*B16</f>
        <v>0.83199999999999996</v>
      </c>
      <c r="C19" s="37">
        <f>$C$6*C13*C16</f>
        <v>0</v>
      </c>
      <c r="D19" s="37">
        <f>$D$6*D13*D16</f>
        <v>0</v>
      </c>
    </row>
    <row r="20" spans="1:13" x14ac:dyDescent="0.35">
      <c r="A20" s="200" t="s">
        <v>317</v>
      </c>
      <c r="B20" s="208">
        <v>1</v>
      </c>
      <c r="C20" s="208">
        <v>0.25</v>
      </c>
      <c r="D20" s="208">
        <v>0.25</v>
      </c>
    </row>
    <row r="22" spans="1:13" x14ac:dyDescent="0.35">
      <c r="A22" s="200" t="s">
        <v>318</v>
      </c>
      <c r="B22" s="62">
        <f>(B20*B17)</f>
        <v>0.83199999999999996</v>
      </c>
      <c r="C22" s="37">
        <f t="shared" ref="C22:D22" si="4">(C20*C17)</f>
        <v>0.14295454545454547</v>
      </c>
      <c r="D22" s="37">
        <f t="shared" si="4"/>
        <v>0.43419471153846156</v>
      </c>
    </row>
    <row r="23" spans="1:13" x14ac:dyDescent="0.35">
      <c r="A23" s="200" t="s">
        <v>319</v>
      </c>
      <c r="B23" s="37">
        <f>(B20*B18)/Revenue!$B$13</f>
        <v>2.6623999999999998E-2</v>
      </c>
      <c r="C23" s="37">
        <f>(C20*C18)/Revenue!$B$13</f>
        <v>6.0545454545454557E-3</v>
      </c>
      <c r="D23" s="37">
        <f>(D20*D18)/Revenue!$B$13</f>
        <v>1.8389423076923081E-2</v>
      </c>
    </row>
    <row r="24" spans="1:13" x14ac:dyDescent="0.35">
      <c r="A24" s="200" t="s">
        <v>320</v>
      </c>
      <c r="B24" s="62">
        <f>(B20*B19*Revenue!$B$8)</f>
        <v>1.04</v>
      </c>
      <c r="C24" s="62">
        <f>(C20*C19*Revenue!$B$8)</f>
        <v>0</v>
      </c>
      <c r="D24" s="62">
        <f>(D20*D19*Revenue!$B$8)</f>
        <v>0</v>
      </c>
    </row>
    <row r="26" spans="1:13" x14ac:dyDescent="0.35">
      <c r="A26" s="205" t="s">
        <v>323</v>
      </c>
      <c r="B26" s="209">
        <f>'Pasture&amp;Feed'!$B$42</f>
        <v>6.5000000000000002E-2</v>
      </c>
      <c r="C26" s="209">
        <f>'Pasture&amp;Feed'!$B$42</f>
        <v>6.5000000000000002E-2</v>
      </c>
      <c r="D26" s="209">
        <f>'Pasture&amp;Feed'!$B$42</f>
        <v>6.5000000000000002E-2</v>
      </c>
    </row>
  </sheetData>
  <sheetProtection algorithmName="SHA-512" hashValue="IOCocE5NI4T1llFewn76zM9RsLYurQUt03zsDzKB5xkiOrKF5d1b771ejjgj7cXrQcAG8BEOseXJddDDlp5rcg==" saltValue="TyxEMhJu4WXtzAcKYXUI5A==" spinCount="100000" sheet="1" objects="1" scenarios="1"/>
  <mergeCells count="5">
    <mergeCell ref="J2:K2"/>
    <mergeCell ref="L2:M2"/>
    <mergeCell ref="A1:D1"/>
    <mergeCell ref="I1:M1"/>
    <mergeCell ref="F1:G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D9FD6-5A6D-4392-831E-6FEF877236ED}">
  <dimension ref="A1:I15"/>
  <sheetViews>
    <sheetView workbookViewId="0">
      <selection activeCell="C29" sqref="C29"/>
    </sheetView>
  </sheetViews>
  <sheetFormatPr defaultRowHeight="14.5" x14ac:dyDescent="0.35"/>
  <cols>
    <col min="1" max="1" width="36.7265625" bestFit="1" customWidth="1"/>
    <col min="2" max="2" width="8" style="22" bestFit="1" customWidth="1"/>
    <col min="3" max="3" width="8" style="61" customWidth="1"/>
    <col min="5" max="5" width="36.81640625" bestFit="1" customWidth="1"/>
    <col min="6" max="6" width="8.453125" customWidth="1"/>
    <col min="7" max="7" width="10.81640625" bestFit="1" customWidth="1"/>
    <col min="8" max="8" width="7" bestFit="1" customWidth="1"/>
    <col min="9" max="9" width="10.81640625" bestFit="1" customWidth="1"/>
  </cols>
  <sheetData>
    <row r="1" spans="1:9" ht="28.5" customHeight="1" x14ac:dyDescent="0.35">
      <c r="A1" s="239" t="s">
        <v>201</v>
      </c>
      <c r="B1" s="239"/>
      <c r="C1" s="239"/>
      <c r="E1" s="239" t="s">
        <v>202</v>
      </c>
      <c r="F1" s="239"/>
      <c r="G1" s="239"/>
      <c r="H1" s="239"/>
      <c r="I1" s="239"/>
    </row>
    <row r="2" spans="1:9" ht="15.5" x14ac:dyDescent="0.35">
      <c r="F2" s="244" t="s">
        <v>224</v>
      </c>
      <c r="G2" s="244"/>
      <c r="H2" s="245" t="s">
        <v>225</v>
      </c>
      <c r="I2" s="245"/>
    </row>
    <row r="3" spans="1:9" ht="15" thickBot="1" x14ac:dyDescent="0.4">
      <c r="A3" s="34" t="s">
        <v>62</v>
      </c>
      <c r="B3" s="93" t="s">
        <v>248</v>
      </c>
      <c r="C3" s="58" t="s">
        <v>248</v>
      </c>
      <c r="E3" s="24" t="s">
        <v>178</v>
      </c>
      <c r="F3" s="93" t="s">
        <v>25</v>
      </c>
      <c r="G3" s="94" t="s">
        <v>161</v>
      </c>
      <c r="H3" s="58" t="s">
        <v>25</v>
      </c>
      <c r="I3" s="46" t="s">
        <v>161</v>
      </c>
    </row>
    <row r="4" spans="1:9" ht="15" thickBot="1" x14ac:dyDescent="0.4">
      <c r="A4" t="s">
        <v>63</v>
      </c>
      <c r="B4" s="171">
        <f>Revenue!B13</f>
        <v>31.25</v>
      </c>
      <c r="C4" s="160">
        <f>B4</f>
        <v>31.25</v>
      </c>
      <c r="E4" s="26" t="s">
        <v>200</v>
      </c>
      <c r="F4" s="169">
        <v>7.4999999999999997E-2</v>
      </c>
      <c r="G4" s="42" t="s">
        <v>106</v>
      </c>
      <c r="H4" s="153">
        <v>7.4999999999999997E-2</v>
      </c>
      <c r="I4" s="61" t="s">
        <v>106</v>
      </c>
    </row>
    <row r="5" spans="1:9" ht="15" thickBot="1" x14ac:dyDescent="0.4">
      <c r="A5" t="s">
        <v>64</v>
      </c>
      <c r="B5" s="169">
        <v>500</v>
      </c>
      <c r="C5" s="153">
        <v>500</v>
      </c>
      <c r="E5" s="26" t="s">
        <v>65</v>
      </c>
      <c r="F5" s="97">
        <f>PMT(F4,B6,-B5)</f>
        <v>123.58235889336015</v>
      </c>
      <c r="G5" s="75">
        <f>F5*Revenue!$B$5</f>
        <v>30895.589723340039</v>
      </c>
      <c r="H5" s="97">
        <f>PMT(H4,C6,-C5)</f>
        <v>123.58235889336015</v>
      </c>
      <c r="I5" s="75">
        <f>H5*Revenue!$C$5</f>
        <v>30895.589723340039</v>
      </c>
    </row>
    <row r="6" spans="1:9" ht="15" thickBot="1" x14ac:dyDescent="0.4">
      <c r="A6" s="24" t="s">
        <v>203</v>
      </c>
      <c r="B6" s="139">
        <v>5</v>
      </c>
      <c r="C6" s="153">
        <v>5</v>
      </c>
      <c r="E6" s="26" t="s">
        <v>66</v>
      </c>
      <c r="F6" s="36">
        <f>+F5/B4</f>
        <v>3.9546354845875249</v>
      </c>
      <c r="G6" s="42">
        <f>F6*Revenue!$B$5</f>
        <v>988.65887114688121</v>
      </c>
      <c r="H6" s="36">
        <f>+H5/C4</f>
        <v>3.9546354845875249</v>
      </c>
      <c r="I6" s="42">
        <f>H6*Revenue!$C$5</f>
        <v>988.65887114688121</v>
      </c>
    </row>
    <row r="7" spans="1:9" x14ac:dyDescent="0.35">
      <c r="E7" t="s">
        <v>67</v>
      </c>
      <c r="F7" s="22">
        <v>75</v>
      </c>
      <c r="G7" s="42">
        <f>F7*Revenue!$B$5</f>
        <v>18750</v>
      </c>
      <c r="H7" s="61">
        <v>75</v>
      </c>
      <c r="I7" s="42">
        <f>H7*Revenue!$C$5</f>
        <v>18750</v>
      </c>
    </row>
    <row r="8" spans="1:9" x14ac:dyDescent="0.35">
      <c r="E8" t="s">
        <v>68</v>
      </c>
      <c r="F8" s="22">
        <f>F7/B4</f>
        <v>2.4</v>
      </c>
      <c r="G8" s="42">
        <f>F8*Revenue!$B$5</f>
        <v>600</v>
      </c>
      <c r="H8" s="48">
        <f>H7/C4</f>
        <v>2.4</v>
      </c>
      <c r="I8" s="42">
        <f>H8*Revenue!$C$5</f>
        <v>600</v>
      </c>
    </row>
    <row r="9" spans="1:9" x14ac:dyDescent="0.35">
      <c r="E9" s="24" t="s">
        <v>69</v>
      </c>
      <c r="F9" s="35">
        <f>F6+F8</f>
        <v>6.3546354845875248</v>
      </c>
      <c r="G9" s="44">
        <f>G6+G8</f>
        <v>1588.6588711468812</v>
      </c>
      <c r="H9" s="35">
        <f>H6+H8</f>
        <v>6.3546354845875248</v>
      </c>
      <c r="I9" s="44">
        <f>I6+I8</f>
        <v>1588.6588711468812</v>
      </c>
    </row>
    <row r="10" spans="1:9" ht="14.5" customHeight="1" x14ac:dyDescent="0.35"/>
    <row r="15" spans="1:9" x14ac:dyDescent="0.35">
      <c r="G15" t="s">
        <v>290</v>
      </c>
    </row>
  </sheetData>
  <sheetProtection algorithmName="SHA-512" hashValue="BN/lV3OoSzJ6O/whI/DbIjrYVoAMWp87Y3NpQcwMDZGOYx3WL/RsBDmfRrpJ/iyI0yG3SG9MN2fi5+kULIYYnQ==" saltValue="ZusNwU8mxnyQ0jqjODniuw==" spinCount="100000" sheet="1" objects="1" scenarios="1"/>
  <mergeCells count="4">
    <mergeCell ref="E1:I1"/>
    <mergeCell ref="A1:C1"/>
    <mergeCell ref="F2:G2"/>
    <mergeCell ref="H2:I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4D8B9-DF10-4902-82FE-EC6E546F9500}">
  <dimension ref="A1:J36"/>
  <sheetViews>
    <sheetView topLeftCell="A13" workbookViewId="0">
      <selection activeCell="C17" sqref="C17"/>
    </sheetView>
  </sheetViews>
  <sheetFormatPr defaultRowHeight="15.5" x14ac:dyDescent="0.35"/>
  <cols>
    <col min="1" max="1" width="56.1796875" style="28" bestFit="1" customWidth="1"/>
    <col min="2" max="2" width="10.08984375" style="29" bestFit="1" customWidth="1"/>
    <col min="3" max="3" width="8.7265625" style="62"/>
    <col min="4" max="5" width="8.7265625" style="28"/>
    <col min="6" max="6" width="38.6328125" style="28" bestFit="1" customWidth="1"/>
    <col min="7" max="8" width="9.54296875" style="28" bestFit="1" customWidth="1"/>
    <col min="9" max="16384" width="8.7265625" style="28"/>
  </cols>
  <sheetData>
    <row r="1" spans="1:10" ht="32" customHeight="1" x14ac:dyDescent="0.35">
      <c r="A1" s="248" t="s">
        <v>70</v>
      </c>
      <c r="B1" s="248"/>
      <c r="C1" s="248"/>
      <c r="F1" s="233" t="s">
        <v>226</v>
      </c>
      <c r="G1" s="233"/>
      <c r="H1" s="233"/>
      <c r="I1" s="233"/>
      <c r="J1" s="233"/>
    </row>
    <row r="2" spans="1:10" x14ac:dyDescent="0.35">
      <c r="F2" s="92"/>
      <c r="G2" s="92"/>
      <c r="H2" s="92"/>
      <c r="I2" s="92"/>
      <c r="J2" s="92"/>
    </row>
    <row r="3" spans="1:10" ht="16" thickBot="1" x14ac:dyDescent="0.4">
      <c r="A3" s="30" t="s">
        <v>78</v>
      </c>
      <c r="B3" s="95" t="s">
        <v>20</v>
      </c>
      <c r="C3" s="177" t="s">
        <v>20</v>
      </c>
      <c r="F3" s="3"/>
      <c r="G3" s="249" t="s">
        <v>224</v>
      </c>
      <c r="H3" s="249"/>
      <c r="I3" s="245" t="s">
        <v>225</v>
      </c>
      <c r="J3" s="245"/>
    </row>
    <row r="4" spans="1:10" ht="16" thickBot="1" x14ac:dyDescent="0.4">
      <c r="A4" s="28" t="s">
        <v>71</v>
      </c>
      <c r="B4" s="178">
        <v>2.25</v>
      </c>
      <c r="C4" s="159">
        <v>2.25</v>
      </c>
      <c r="F4" s="16" t="s">
        <v>166</v>
      </c>
      <c r="G4" s="88" t="s">
        <v>25</v>
      </c>
      <c r="H4" s="89" t="s">
        <v>24</v>
      </c>
      <c r="I4" s="90" t="s">
        <v>25</v>
      </c>
      <c r="J4" s="91" t="s">
        <v>24</v>
      </c>
    </row>
    <row r="5" spans="1:10" ht="16" thickBot="1" x14ac:dyDescent="0.4">
      <c r="A5" s="28" t="s">
        <v>75</v>
      </c>
      <c r="B5" s="178">
        <v>0.15</v>
      </c>
      <c r="C5" s="159">
        <v>0.15</v>
      </c>
      <c r="F5" s="28" t="s">
        <v>71</v>
      </c>
      <c r="G5" s="29">
        <f>B4</f>
        <v>2.25</v>
      </c>
      <c r="H5" s="14">
        <f>G5*Revenue!$B$5</f>
        <v>562.5</v>
      </c>
      <c r="I5" s="62">
        <f>C4</f>
        <v>2.25</v>
      </c>
      <c r="J5" s="14">
        <f>I5*Revenue!$C$5</f>
        <v>562.5</v>
      </c>
    </row>
    <row r="6" spans="1:10" ht="16" thickBot="1" x14ac:dyDescent="0.4">
      <c r="A6" s="28" t="s">
        <v>76</v>
      </c>
      <c r="B6" s="178">
        <v>0.35</v>
      </c>
      <c r="C6" s="159">
        <v>0.35</v>
      </c>
      <c r="F6" s="28" t="s">
        <v>75</v>
      </c>
      <c r="G6" s="62">
        <f>B5</f>
        <v>0.15</v>
      </c>
      <c r="H6" s="14">
        <f>G6*Revenue!$B$5</f>
        <v>37.5</v>
      </c>
      <c r="I6" s="62">
        <f>C5</f>
        <v>0.15</v>
      </c>
      <c r="J6" s="14">
        <f>I6*Revenue!$C$5</f>
        <v>37.5</v>
      </c>
    </row>
    <row r="7" spans="1:10" ht="16" thickBot="1" x14ac:dyDescent="0.4">
      <c r="A7" s="28" t="s">
        <v>77</v>
      </c>
      <c r="B7" s="178">
        <v>0.25</v>
      </c>
      <c r="C7" s="159">
        <v>0.25</v>
      </c>
      <c r="F7" s="28" t="s">
        <v>76</v>
      </c>
      <c r="G7" s="62">
        <f>B6</f>
        <v>0.35</v>
      </c>
      <c r="H7" s="14">
        <f>G7*Revenue!$B$5</f>
        <v>87.5</v>
      </c>
      <c r="I7" s="62">
        <f>C6</f>
        <v>0.35</v>
      </c>
      <c r="J7" s="14">
        <f>I7*Revenue!$C$5</f>
        <v>87.5</v>
      </c>
    </row>
    <row r="8" spans="1:10" ht="16" thickBot="1" x14ac:dyDescent="0.4">
      <c r="A8" s="28" t="s">
        <v>92</v>
      </c>
      <c r="B8" s="178">
        <v>7.0000000000000001E-3</v>
      </c>
      <c r="C8" s="159">
        <v>7.0000000000000001E-3</v>
      </c>
      <c r="F8" s="28" t="s">
        <v>77</v>
      </c>
      <c r="G8" s="62">
        <f>B7</f>
        <v>0.25</v>
      </c>
      <c r="H8" s="14">
        <f>G8*Revenue!$B$5</f>
        <v>62.5</v>
      </c>
      <c r="I8" s="62">
        <f>C7</f>
        <v>0.25</v>
      </c>
      <c r="J8" s="14">
        <f>I8*Revenue!$C$5</f>
        <v>62.5</v>
      </c>
    </row>
    <row r="9" spans="1:10" x14ac:dyDescent="0.35">
      <c r="A9" s="28" t="s">
        <v>81</v>
      </c>
      <c r="B9" s="37">
        <f>B8*Revenue!B9</f>
        <v>0.52500000000000002</v>
      </c>
      <c r="C9" s="37">
        <f>C8*Revenue!C9</f>
        <v>0.52500000000000002</v>
      </c>
      <c r="F9" s="28" t="s">
        <v>88</v>
      </c>
      <c r="G9" s="37">
        <f>B26</f>
        <v>0.90277777777777779</v>
      </c>
      <c r="H9" s="14">
        <f>G9*Revenue!$B$5</f>
        <v>225.69444444444446</v>
      </c>
      <c r="I9" s="37">
        <f>C26</f>
        <v>0.63194444444444442</v>
      </c>
      <c r="J9" s="14">
        <f>I9*Revenue!$C$5</f>
        <v>157.98611111111111</v>
      </c>
    </row>
    <row r="10" spans="1:10" x14ac:dyDescent="0.35">
      <c r="A10" s="28" t="s">
        <v>82</v>
      </c>
      <c r="B10" s="37">
        <f>B9*Revenue!B8</f>
        <v>0.65625</v>
      </c>
      <c r="C10" s="37">
        <f>C9*Revenue!C8</f>
        <v>0.65625</v>
      </c>
      <c r="F10" s="28" t="s">
        <v>89</v>
      </c>
      <c r="G10" s="37">
        <f>B27</f>
        <v>1.1818181818181819</v>
      </c>
      <c r="H10" s="14">
        <f>G10*Revenue!$B$5</f>
        <v>295.4545454545455</v>
      </c>
      <c r="I10" s="37">
        <f>C27</f>
        <v>1.1818181818181819</v>
      </c>
      <c r="J10" s="14">
        <f>I10*Revenue!$C$5</f>
        <v>295.4545454545455</v>
      </c>
    </row>
    <row r="11" spans="1:10" x14ac:dyDescent="0.35">
      <c r="A11" s="28" t="s">
        <v>83</v>
      </c>
      <c r="B11" s="37">
        <f>(B8*Revenue!B11)/(Revenue!B10*Revenue!B5)</f>
        <v>4.7599999999999996E-2</v>
      </c>
      <c r="C11" s="37">
        <f>(C8*Revenue!C11)/(Revenue!C10*Revenue!C5)</f>
        <v>4.7599999999999996E-2</v>
      </c>
      <c r="F11" s="28" t="s">
        <v>97</v>
      </c>
      <c r="G11" s="37">
        <f>B29</f>
        <v>4.622222222222222E-2</v>
      </c>
      <c r="H11" s="14">
        <f>G11*Revenue!$B$5</f>
        <v>11.555555555555555</v>
      </c>
      <c r="I11" s="37">
        <f>C29</f>
        <v>4.622222222222222E-2</v>
      </c>
      <c r="J11" s="14">
        <f>I11*Revenue!$C$5</f>
        <v>11.555555555555555</v>
      </c>
    </row>
    <row r="12" spans="1:10" x14ac:dyDescent="0.35">
      <c r="A12" s="28" t="s">
        <v>84</v>
      </c>
      <c r="B12" s="37">
        <f>B8*Revenue!B15</f>
        <v>1.575</v>
      </c>
      <c r="C12" s="37">
        <f>C8*Revenue!C15</f>
        <v>1.575</v>
      </c>
      <c r="F12" s="16" t="s">
        <v>165</v>
      </c>
      <c r="G12" s="33">
        <f>SUM(G5:G11)</f>
        <v>5.1308181818181815</v>
      </c>
      <c r="H12" s="19">
        <f>SUM(H5:H11)</f>
        <v>1282.7045454545455</v>
      </c>
      <c r="I12" s="33">
        <f>SUM(I5:I11)</f>
        <v>4.8599848484848485</v>
      </c>
      <c r="J12" s="19">
        <f>SUM(J5:J11)</f>
        <v>1214.9962121212122</v>
      </c>
    </row>
    <row r="13" spans="1:10" x14ac:dyDescent="0.35">
      <c r="A13" s="30" t="s">
        <v>85</v>
      </c>
      <c r="B13" s="40">
        <f>B12/Revenue!B13</f>
        <v>5.04E-2</v>
      </c>
      <c r="C13" s="40">
        <f>C12/Revenue!C13</f>
        <v>5.04E-2</v>
      </c>
      <c r="F13" s="1"/>
      <c r="G13" s="27"/>
      <c r="H13" s="14"/>
    </row>
    <row r="14" spans="1:10" x14ac:dyDescent="0.35">
      <c r="F14" s="16" t="s">
        <v>167</v>
      </c>
      <c r="G14" s="18" t="s">
        <v>25</v>
      </c>
      <c r="H14" s="17" t="s">
        <v>24</v>
      </c>
      <c r="I14" s="18" t="s">
        <v>25</v>
      </c>
      <c r="J14" s="17" t="s">
        <v>24</v>
      </c>
    </row>
    <row r="15" spans="1:10" ht="16" thickBot="1" x14ac:dyDescent="0.4">
      <c r="A15" s="30" t="s">
        <v>79</v>
      </c>
      <c r="B15" s="95" t="s">
        <v>20</v>
      </c>
      <c r="C15" s="177" t="s">
        <v>20</v>
      </c>
      <c r="F15" s="28" t="s">
        <v>82</v>
      </c>
      <c r="G15" s="41">
        <f>B10</f>
        <v>0.65625</v>
      </c>
      <c r="H15" s="38">
        <f>G15*Revenue!$B$5</f>
        <v>164.0625</v>
      </c>
      <c r="I15" s="41">
        <f>C10</f>
        <v>0.65625</v>
      </c>
      <c r="J15" s="38">
        <f>I15*Revenue!$C$5</f>
        <v>164.0625</v>
      </c>
    </row>
    <row r="16" spans="1:10" ht="16" thickBot="1" x14ac:dyDescent="0.4">
      <c r="A16" s="28" t="s">
        <v>73</v>
      </c>
      <c r="B16" s="176">
        <v>50</v>
      </c>
      <c r="C16" s="158">
        <f>'Producer Set Up'!$C$10</f>
        <v>35</v>
      </c>
      <c r="F16" s="28" t="s">
        <v>83</v>
      </c>
      <c r="G16" s="41">
        <f>B11</f>
        <v>4.7599999999999996E-2</v>
      </c>
      <c r="H16" s="38">
        <f>G16*Revenue!$B$5</f>
        <v>11.899999999999999</v>
      </c>
      <c r="I16" s="41">
        <f>C11</f>
        <v>4.7599999999999996E-2</v>
      </c>
      <c r="J16" s="38">
        <f>I16*Revenue!$C$5</f>
        <v>11.899999999999999</v>
      </c>
    </row>
    <row r="17" spans="1:10" ht="16" thickBot="1" x14ac:dyDescent="0.4">
      <c r="A17" s="28" t="s">
        <v>72</v>
      </c>
      <c r="B17" s="176">
        <v>6.5</v>
      </c>
      <c r="C17" s="159">
        <v>6.5</v>
      </c>
      <c r="F17" s="28" t="s">
        <v>85</v>
      </c>
      <c r="G17" s="41">
        <f>B13</f>
        <v>5.04E-2</v>
      </c>
      <c r="H17" s="38">
        <f>G17*Revenue!$B$5</f>
        <v>12.6</v>
      </c>
      <c r="I17" s="41">
        <f>C13</f>
        <v>5.04E-2</v>
      </c>
      <c r="J17" s="38">
        <f>I17*Revenue!$C$5</f>
        <v>12.6</v>
      </c>
    </row>
    <row r="18" spans="1:10" x14ac:dyDescent="0.35">
      <c r="A18" s="28" t="s">
        <v>96</v>
      </c>
      <c r="B18" s="120">
        <f>2.75*450</f>
        <v>1237.5</v>
      </c>
      <c r="C18" s="120">
        <f>2.75*450</f>
        <v>1237.5</v>
      </c>
      <c r="F18" s="30" t="s">
        <v>168</v>
      </c>
      <c r="G18" s="72">
        <f>SUM(G15:G17)</f>
        <v>0.75424999999999998</v>
      </c>
      <c r="H18" s="72">
        <f>SUM(H15:H17)</f>
        <v>188.5625</v>
      </c>
      <c r="I18" s="72">
        <f t="shared" ref="I18:J18" si="0">SUM(I15:I17)</f>
        <v>0.75424999999999998</v>
      </c>
      <c r="J18" s="72">
        <f t="shared" si="0"/>
        <v>188.5625</v>
      </c>
    </row>
    <row r="19" spans="1:10" x14ac:dyDescent="0.35">
      <c r="A19" s="28" t="s">
        <v>93</v>
      </c>
      <c r="B19" s="41">
        <v>2.75</v>
      </c>
      <c r="C19" s="41">
        <v>2.75</v>
      </c>
      <c r="G19" s="38"/>
      <c r="H19" s="37"/>
    </row>
    <row r="20" spans="1:10" x14ac:dyDescent="0.35">
      <c r="A20" s="28" t="s">
        <v>94</v>
      </c>
      <c r="B20" s="41">
        <v>4.5</v>
      </c>
      <c r="C20" s="41">
        <v>4.5</v>
      </c>
      <c r="G20" s="38"/>
      <c r="H20" s="37"/>
    </row>
    <row r="21" spans="1:10" x14ac:dyDescent="0.35">
      <c r="A21" s="28" t="s">
        <v>95</v>
      </c>
      <c r="B21" s="41">
        <v>5.5</v>
      </c>
      <c r="C21" s="41">
        <v>5.5</v>
      </c>
      <c r="F21" s="1" t="s">
        <v>164</v>
      </c>
      <c r="G21" s="27">
        <f>SUM(G5:G15)*('Pasture&amp;Feed'!$B$42/365)*(365/2)</f>
        <v>0.35483130681818176</v>
      </c>
      <c r="H21" s="14">
        <f>G21*Revenue!$B$5</f>
        <v>88.70782670454544</v>
      </c>
      <c r="I21" s="27">
        <f>SUM(I5:I15)*('Pasture&amp;Feed'!$B$42/365)*(365/2)</f>
        <v>0.33722714015151511</v>
      </c>
      <c r="J21" s="14">
        <f>I21*Revenue!$C$5</f>
        <v>84.306785037878782</v>
      </c>
    </row>
    <row r="22" spans="1:10" x14ac:dyDescent="0.35">
      <c r="A22" s="28" t="s">
        <v>80</v>
      </c>
      <c r="B22" s="29">
        <f>$B$18/B19</f>
        <v>450</v>
      </c>
      <c r="C22" s="62">
        <f>$C$18/C19</f>
        <v>450</v>
      </c>
      <c r="G22" s="38"/>
      <c r="H22" s="37"/>
    </row>
    <row r="23" spans="1:10" x14ac:dyDescent="0.35">
      <c r="A23" s="28" t="s">
        <v>90</v>
      </c>
      <c r="B23" s="29">
        <f>$B$18/B20</f>
        <v>275</v>
      </c>
      <c r="C23" s="62">
        <f>$C$18/C20</f>
        <v>275</v>
      </c>
      <c r="G23" s="38"/>
      <c r="H23" s="37"/>
    </row>
    <row r="24" spans="1:10" x14ac:dyDescent="0.35">
      <c r="A24" s="28" t="s">
        <v>91</v>
      </c>
      <c r="B24" s="29">
        <f>$B$18/B21</f>
        <v>225</v>
      </c>
      <c r="C24" s="62">
        <f>$C$18/C21</f>
        <v>225</v>
      </c>
    </row>
    <row r="25" spans="1:10" x14ac:dyDescent="0.35">
      <c r="A25" s="28" t="s">
        <v>87</v>
      </c>
      <c r="B25" s="37">
        <f>($B$17*$B$16)/B22</f>
        <v>0.72222222222222221</v>
      </c>
      <c r="C25" s="37">
        <f>($C$17*$C$16)/C22</f>
        <v>0.50555555555555554</v>
      </c>
      <c r="F25" s="53" t="s">
        <v>132</v>
      </c>
    </row>
    <row r="26" spans="1:10" x14ac:dyDescent="0.35">
      <c r="A26" s="28" t="s">
        <v>88</v>
      </c>
      <c r="B26" s="37">
        <f>B25*Revenue!B8</f>
        <v>0.90277777777777779</v>
      </c>
      <c r="C26" s="37">
        <f>C25*Revenue!C8</f>
        <v>0.63194444444444442</v>
      </c>
      <c r="F26" s="54" t="s">
        <v>135</v>
      </c>
      <c r="G26" s="14"/>
      <c r="H26" s="15"/>
    </row>
    <row r="27" spans="1:10" x14ac:dyDescent="0.35">
      <c r="A27" s="28" t="s">
        <v>89</v>
      </c>
      <c r="B27" s="37">
        <f>($B$17*$B$16)/B23</f>
        <v>1.1818181818181819</v>
      </c>
      <c r="C27" s="37">
        <f>($B$17*$B$16)/C23</f>
        <v>1.1818181818181819</v>
      </c>
      <c r="F27" s="1"/>
      <c r="G27" s="14"/>
      <c r="H27" s="15"/>
    </row>
    <row r="28" spans="1:10" x14ac:dyDescent="0.35">
      <c r="A28" s="28" t="s">
        <v>98</v>
      </c>
      <c r="B28" s="37">
        <f>($B$17*$B$16)/B24</f>
        <v>1.4444444444444444</v>
      </c>
      <c r="C28" s="37">
        <f>($B$17*$B$16)/C24</f>
        <v>1.4444444444444444</v>
      </c>
      <c r="F28" s="1"/>
      <c r="G28" s="14"/>
      <c r="H28" s="15"/>
    </row>
    <row r="29" spans="1:10" x14ac:dyDescent="0.35">
      <c r="A29" s="30" t="s">
        <v>97</v>
      </c>
      <c r="B29" s="40">
        <f>B28/Revenue!B13</f>
        <v>4.622222222222222E-2</v>
      </c>
      <c r="C29" s="40">
        <f>C28/Revenue!C13</f>
        <v>4.622222222222222E-2</v>
      </c>
      <c r="F29" s="1"/>
      <c r="G29" s="14"/>
      <c r="H29" s="15"/>
    </row>
    <row r="30" spans="1:10" x14ac:dyDescent="0.35">
      <c r="F30" s="1"/>
      <c r="G30" s="14"/>
      <c r="H30" s="15"/>
    </row>
    <row r="31" spans="1:10" x14ac:dyDescent="0.35">
      <c r="F31" s="1"/>
      <c r="G31" s="14"/>
      <c r="H31" s="15"/>
    </row>
    <row r="32" spans="1:10" x14ac:dyDescent="0.35">
      <c r="F32" s="1"/>
      <c r="G32" s="14"/>
      <c r="H32" s="15"/>
    </row>
    <row r="33" spans="6:8" x14ac:dyDescent="0.35">
      <c r="F33" s="1"/>
      <c r="G33" s="14"/>
      <c r="H33" s="15"/>
    </row>
    <row r="34" spans="6:8" x14ac:dyDescent="0.35">
      <c r="G34" s="38"/>
      <c r="H34" s="37"/>
    </row>
    <row r="35" spans="6:8" x14ac:dyDescent="0.35">
      <c r="F35" s="1"/>
      <c r="G35" s="14"/>
      <c r="H35" s="15"/>
    </row>
    <row r="36" spans="6:8" x14ac:dyDescent="0.35">
      <c r="F36" s="1"/>
      <c r="G36" s="14"/>
      <c r="H36" s="15"/>
    </row>
  </sheetData>
  <sheetProtection algorithmName="SHA-512" hashValue="jPXIQcpCSGUj4rjuY4dbYtosKCH+tM9iAsUeV0NVw3Jlh21kywH8POkNWbeYectrnUPZrDyuT6F23Zj0r63J6g==" saltValue="3gMUbfdoqTf6hg5clMZEDA==" spinCount="100000" sheet="1" objects="1" scenarios="1"/>
  <mergeCells count="4">
    <mergeCell ref="F1:J1"/>
    <mergeCell ref="A1:C1"/>
    <mergeCell ref="G3:H3"/>
    <mergeCell ref="I3:J3"/>
  </mergeCells>
  <pageMargins left="0.7" right="0.7" top="0.75" bottom="0.75" header="0.3" footer="0.3"/>
  <pageSetup orientation="portrait" r:id="rId1"/>
  <ignoredErrors>
    <ignoredError sqref="I6:I11 H21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21E21-8A07-43D6-B864-38E60A3700BE}">
  <dimension ref="A1:F23"/>
  <sheetViews>
    <sheetView workbookViewId="0">
      <selection activeCell="C6" sqref="C6"/>
    </sheetView>
  </sheetViews>
  <sheetFormatPr defaultRowHeight="14.5" x14ac:dyDescent="0.35"/>
  <cols>
    <col min="1" max="1" width="38.08984375" bestFit="1" customWidth="1"/>
    <col min="2" max="2" width="8.7265625" style="23"/>
    <col min="3" max="3" width="10.81640625" style="61" bestFit="1" customWidth="1"/>
    <col min="4" max="5" width="10.81640625" bestFit="1" customWidth="1"/>
  </cols>
  <sheetData>
    <row r="1" spans="1:6" ht="29" customHeight="1" x14ac:dyDescent="0.35">
      <c r="A1" s="239" t="s">
        <v>204</v>
      </c>
      <c r="B1" s="239"/>
      <c r="C1" s="239"/>
    </row>
    <row r="3" spans="1:6" ht="15" thickBot="1" x14ac:dyDescent="0.4">
      <c r="A3" s="24" t="s">
        <v>112</v>
      </c>
      <c r="B3" s="93" t="s">
        <v>234</v>
      </c>
      <c r="C3" s="58" t="s">
        <v>234</v>
      </c>
    </row>
    <row r="4" spans="1:6" ht="15" thickBot="1" x14ac:dyDescent="0.4">
      <c r="A4" t="s">
        <v>115</v>
      </c>
      <c r="B4" s="169">
        <v>8</v>
      </c>
      <c r="C4" s="167">
        <f>'Producer Set Up'!$C$11</f>
        <v>6</v>
      </c>
    </row>
    <row r="5" spans="1:6" ht="15" thickBot="1" x14ac:dyDescent="0.4">
      <c r="A5" t="s">
        <v>116</v>
      </c>
      <c r="B5" s="169">
        <v>12</v>
      </c>
      <c r="C5" s="167">
        <f>'Producer Set Up'!$C$12</f>
        <v>10</v>
      </c>
    </row>
    <row r="6" spans="1:6" ht="15" thickBot="1" x14ac:dyDescent="0.4">
      <c r="A6" t="s">
        <v>327</v>
      </c>
      <c r="B6" s="169">
        <v>300</v>
      </c>
      <c r="C6" s="167">
        <f>'Producer Set Up'!$C$13</f>
        <v>250</v>
      </c>
    </row>
    <row r="7" spans="1:6" ht="15" thickBot="1" x14ac:dyDescent="0.4">
      <c r="A7" t="s">
        <v>328</v>
      </c>
      <c r="B7" s="169">
        <v>0.72</v>
      </c>
      <c r="C7" s="153">
        <v>0.72</v>
      </c>
      <c r="D7" t="s">
        <v>329</v>
      </c>
    </row>
    <row r="8" spans="1:6" ht="15" thickBot="1" x14ac:dyDescent="0.4">
      <c r="A8" t="s">
        <v>330</v>
      </c>
      <c r="B8" s="169">
        <f>B6*B7</f>
        <v>216</v>
      </c>
      <c r="C8" s="153">
        <f>C6*C7</f>
        <v>180</v>
      </c>
      <c r="D8" t="s">
        <v>293</v>
      </c>
    </row>
    <row r="9" spans="1:6" ht="15" thickBot="1" x14ac:dyDescent="0.4">
      <c r="A9" t="s">
        <v>331</v>
      </c>
      <c r="B9" s="169">
        <v>60</v>
      </c>
      <c r="C9" s="153">
        <v>60</v>
      </c>
    </row>
    <row r="10" spans="1:6" ht="15" thickBot="1" x14ac:dyDescent="0.4">
      <c r="A10" t="s">
        <v>280</v>
      </c>
      <c r="B10" s="23">
        <v>32.5</v>
      </c>
      <c r="C10" s="193">
        <v>32.5</v>
      </c>
      <c r="D10" t="s">
        <v>294</v>
      </c>
    </row>
    <row r="11" spans="1:6" ht="15" thickBot="1" x14ac:dyDescent="0.4">
      <c r="A11" t="s">
        <v>291</v>
      </c>
      <c r="B11" s="85">
        <v>0</v>
      </c>
      <c r="C11" s="193">
        <v>0</v>
      </c>
      <c r="F11">
        <v>14</v>
      </c>
    </row>
    <row r="12" spans="1:6" x14ac:dyDescent="0.35">
      <c r="A12" s="24" t="s">
        <v>323</v>
      </c>
      <c r="B12" s="25">
        <f>'Pasture&amp;Feed'!B42</f>
        <v>6.5000000000000002E-2</v>
      </c>
      <c r="C12" s="214">
        <f>'Pasture&amp;Feed'!C42</f>
        <v>6.5000000000000002E-2</v>
      </c>
    </row>
    <row r="13" spans="1:6" x14ac:dyDescent="0.35">
      <c r="B13" s="85"/>
      <c r="C13" s="85"/>
    </row>
    <row r="14" spans="1:6" x14ac:dyDescent="0.35">
      <c r="B14" s="251" t="s">
        <v>224</v>
      </c>
      <c r="C14" s="251"/>
      <c r="D14" s="250" t="s">
        <v>225</v>
      </c>
      <c r="E14" s="250"/>
    </row>
    <row r="15" spans="1:6" x14ac:dyDescent="0.35">
      <c r="A15" s="24" t="s">
        <v>212</v>
      </c>
      <c r="B15" s="93" t="s">
        <v>25</v>
      </c>
      <c r="C15" s="93" t="s">
        <v>24</v>
      </c>
      <c r="D15" s="73" t="s">
        <v>25</v>
      </c>
      <c r="E15" s="73" t="s">
        <v>24</v>
      </c>
    </row>
    <row r="16" spans="1:6" x14ac:dyDescent="0.35">
      <c r="A16" t="s">
        <v>114</v>
      </c>
      <c r="B16" s="23">
        <f>B8/Revenue!B5</f>
        <v>0.86399999999999999</v>
      </c>
      <c r="C16" s="61">
        <f>B16*Revenue!$B$5</f>
        <v>216</v>
      </c>
      <c r="D16" s="61">
        <f>C8/Revenue!C5</f>
        <v>0.72</v>
      </c>
      <c r="E16" s="61">
        <f>D16*Revenue!$C$5</f>
        <v>180</v>
      </c>
    </row>
    <row r="17" spans="1:5" x14ac:dyDescent="0.35">
      <c r="A17" t="s">
        <v>278</v>
      </c>
      <c r="B17" s="61">
        <f>B4</f>
        <v>8</v>
      </c>
      <c r="C17" s="42">
        <f>B17*Revenue!$B$5</f>
        <v>2000</v>
      </c>
      <c r="D17" s="61">
        <f>C4</f>
        <v>6</v>
      </c>
      <c r="E17" s="42">
        <f>D17*Revenue!$C$5</f>
        <v>1500</v>
      </c>
    </row>
    <row r="18" spans="1:5" x14ac:dyDescent="0.35">
      <c r="A18" t="s">
        <v>279</v>
      </c>
      <c r="B18" s="47">
        <f>B17/Revenue!B13</f>
        <v>0.25600000000000001</v>
      </c>
      <c r="C18" s="194">
        <f>B18*Revenue!$B$5</f>
        <v>64</v>
      </c>
      <c r="D18" s="47">
        <f>D17/Revenue!C13</f>
        <v>0.192</v>
      </c>
      <c r="E18" s="194">
        <f>D18*Revenue!$C$5</f>
        <v>48</v>
      </c>
    </row>
    <row r="19" spans="1:5" x14ac:dyDescent="0.35">
      <c r="A19" t="s">
        <v>281</v>
      </c>
      <c r="B19" s="47">
        <f>B9/Revenue!$B$5</f>
        <v>0.24</v>
      </c>
      <c r="C19" s="194">
        <f>B19*Revenue!$B$5</f>
        <v>60</v>
      </c>
      <c r="D19" s="47">
        <f>C9/Revenue!$C$5</f>
        <v>0.24</v>
      </c>
      <c r="E19" s="194">
        <f>D19*Revenue!$C$5</f>
        <v>60</v>
      </c>
    </row>
    <row r="20" spans="1:5" x14ac:dyDescent="0.35">
      <c r="A20" t="s">
        <v>277</v>
      </c>
      <c r="B20" s="47">
        <f>B11/B10</f>
        <v>0</v>
      </c>
      <c r="C20" s="194">
        <f>B20*Revenue!$B$5</f>
        <v>0</v>
      </c>
      <c r="D20" s="47">
        <f>C11/C10</f>
        <v>0</v>
      </c>
      <c r="E20" s="194">
        <f>D20*Revenue!$C$5</f>
        <v>0</v>
      </c>
    </row>
    <row r="21" spans="1:5" x14ac:dyDescent="0.35">
      <c r="A21" s="24" t="s">
        <v>113</v>
      </c>
      <c r="B21" s="195">
        <f>SUM(B16:B20)</f>
        <v>9.3600000000000012</v>
      </c>
      <c r="C21" s="44">
        <f>SUM(C16:C20)</f>
        <v>2340</v>
      </c>
      <c r="D21" s="195">
        <f>SUM(D16:D20)</f>
        <v>7.1520000000000001</v>
      </c>
      <c r="E21" s="44">
        <f>SUM(E16:E20)</f>
        <v>1788</v>
      </c>
    </row>
    <row r="22" spans="1:5" x14ac:dyDescent="0.35">
      <c r="B22" s="61"/>
      <c r="D22" s="61"/>
      <c r="E22" s="61"/>
    </row>
    <row r="23" spans="1:5" x14ac:dyDescent="0.35">
      <c r="A23" t="s">
        <v>174</v>
      </c>
      <c r="B23" s="47">
        <f>(B21*(B12/365)*30)</f>
        <v>5.0005479452054802E-2</v>
      </c>
      <c r="C23" s="47">
        <f>B23*Revenue!$B$5</f>
        <v>12.5013698630137</v>
      </c>
      <c r="D23" s="47">
        <f>(D21*(C12/365)*30)</f>
        <v>3.8209315068493149E-2</v>
      </c>
      <c r="E23" s="47">
        <f>D23*Revenue!$C$5</f>
        <v>9.5523287671232868</v>
      </c>
    </row>
  </sheetData>
  <sheetProtection algorithmName="SHA-512" hashValue="Z7vKZDfnuicTerP68MdwA4Yq2CynASGF0/IaUvzJiqBruFJjNzI7huMJby5uYB/yp2C8Rul2ekIV0rIwni3EHg==" saltValue="chWtGBgOyVW554yZMvEJyw==" spinCount="100000" sheet="1" objects="1" scenarios="1"/>
  <mergeCells count="3">
    <mergeCell ref="A1:C1"/>
    <mergeCell ref="D14:E14"/>
    <mergeCell ref="B14:C14"/>
  </mergeCells>
  <pageMargins left="0.7" right="0.7" top="0.75" bottom="0.75" header="0.3" footer="0.3"/>
  <ignoredErrors>
    <ignoredError sqref="C23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A1754-4FE3-4F5E-B05E-B50A5C008130}">
  <dimension ref="A1:I27"/>
  <sheetViews>
    <sheetView workbookViewId="0">
      <selection activeCell="F18" sqref="F18"/>
    </sheetView>
  </sheetViews>
  <sheetFormatPr defaultRowHeight="14.5" x14ac:dyDescent="0.35"/>
  <cols>
    <col min="1" max="1" width="44.453125" bestFit="1" customWidth="1"/>
    <col min="2" max="2" width="9.36328125" style="23" bestFit="1" customWidth="1"/>
  </cols>
  <sheetData>
    <row r="1" spans="1:9" ht="30" customHeight="1" x14ac:dyDescent="0.35">
      <c r="A1" s="239" t="s">
        <v>205</v>
      </c>
      <c r="B1" s="239"/>
      <c r="C1" s="239"/>
    </row>
    <row r="3" spans="1:9" ht="15" thickBot="1" x14ac:dyDescent="0.4">
      <c r="A3" s="24" t="s">
        <v>112</v>
      </c>
      <c r="B3" s="93" t="s">
        <v>20</v>
      </c>
      <c r="C3" s="58" t="s">
        <v>20</v>
      </c>
    </row>
    <row r="4" spans="1:9" ht="15" thickBot="1" x14ac:dyDescent="0.4">
      <c r="A4" s="26" t="s">
        <v>154</v>
      </c>
      <c r="B4" s="169">
        <v>1.5</v>
      </c>
      <c r="C4" s="153">
        <v>1.5</v>
      </c>
      <c r="D4" s="49" t="s">
        <v>119</v>
      </c>
      <c r="E4" s="66"/>
      <c r="F4" s="66"/>
      <c r="G4" s="66"/>
      <c r="H4" s="66"/>
      <c r="I4" s="66"/>
    </row>
    <row r="5" spans="1:9" ht="15" thickBot="1" x14ac:dyDescent="0.4">
      <c r="A5" s="26" t="s">
        <v>155</v>
      </c>
      <c r="B5" s="169">
        <v>3</v>
      </c>
      <c r="C5" s="153">
        <v>3</v>
      </c>
    </row>
    <row r="6" spans="1:9" x14ac:dyDescent="0.35">
      <c r="A6" s="26" t="s">
        <v>156</v>
      </c>
      <c r="B6" s="187">
        <f>B4/Revenue!$B$5</f>
        <v>6.0000000000000001E-3</v>
      </c>
      <c r="C6" s="63">
        <f>C4/Revenue!$C$5</f>
        <v>6.0000000000000001E-3</v>
      </c>
      <c r="D6" s="64"/>
      <c r="E6" s="65"/>
      <c r="F6" s="65"/>
      <c r="G6" s="65"/>
      <c r="H6" s="65"/>
      <c r="I6" s="65"/>
    </row>
    <row r="7" spans="1:9" ht="15" thickBot="1" x14ac:dyDescent="0.4">
      <c r="A7" s="26" t="s">
        <v>157</v>
      </c>
      <c r="B7" s="187">
        <f>B5/Revenue!$B$5</f>
        <v>1.2E-2</v>
      </c>
      <c r="C7" s="63">
        <f>C5/Revenue!$C$5</f>
        <v>1.2E-2</v>
      </c>
    </row>
    <row r="8" spans="1:9" ht="15" thickBot="1" x14ac:dyDescent="0.4">
      <c r="A8" s="26" t="s">
        <v>36</v>
      </c>
      <c r="B8" s="132">
        <f>'Pasture&amp;Feed'!B8</f>
        <v>180</v>
      </c>
      <c r="C8" s="167">
        <f>'Pasture&amp;Feed'!C8</f>
        <v>180</v>
      </c>
    </row>
    <row r="9" spans="1:9" x14ac:dyDescent="0.35">
      <c r="A9" s="55" t="s">
        <v>158</v>
      </c>
      <c r="B9" s="132">
        <f>365-B8</f>
        <v>185</v>
      </c>
      <c r="C9" s="121">
        <f>365-C8</f>
        <v>185</v>
      </c>
    </row>
    <row r="10" spans="1:9" x14ac:dyDescent="0.35">
      <c r="A10" s="55" t="s">
        <v>159</v>
      </c>
      <c r="B10" s="171">
        <f>B6*B8</f>
        <v>1.08</v>
      </c>
      <c r="C10" s="119">
        <f>C6*C8</f>
        <v>1.08</v>
      </c>
    </row>
    <row r="11" spans="1:9" x14ac:dyDescent="0.35">
      <c r="A11" s="55" t="s">
        <v>160</v>
      </c>
      <c r="B11" s="169">
        <f>B7*B9</f>
        <v>2.2200000000000002</v>
      </c>
      <c r="C11" s="57">
        <f>C7*C9</f>
        <v>2.2200000000000002</v>
      </c>
    </row>
    <row r="12" spans="1:9" ht="15" thickBot="1" x14ac:dyDescent="0.4">
      <c r="B12" s="169"/>
      <c r="C12" s="64"/>
    </row>
    <row r="13" spans="1:9" ht="15" thickBot="1" x14ac:dyDescent="0.4">
      <c r="A13" t="s">
        <v>149</v>
      </c>
      <c r="B13" s="175">
        <v>0.1</v>
      </c>
      <c r="C13" s="157">
        <v>0.1</v>
      </c>
    </row>
    <row r="14" spans="1:9" x14ac:dyDescent="0.35">
      <c r="A14" t="s">
        <v>152</v>
      </c>
      <c r="B14" s="188">
        <f>B13*B10</f>
        <v>0.10800000000000001</v>
      </c>
      <c r="C14" s="60">
        <f>C13*C10</f>
        <v>0.10800000000000001</v>
      </c>
    </row>
    <row r="15" spans="1:9" x14ac:dyDescent="0.35">
      <c r="A15" t="s">
        <v>153</v>
      </c>
      <c r="B15" s="188">
        <f>B10-B14</f>
        <v>0.97200000000000009</v>
      </c>
      <c r="C15" s="60">
        <f>C10-C14</f>
        <v>0.97200000000000009</v>
      </c>
    </row>
    <row r="16" spans="1:9" ht="15" thickBot="1" x14ac:dyDescent="0.4">
      <c r="B16" s="173"/>
      <c r="C16" s="64"/>
    </row>
    <row r="17" spans="1:6" ht="15" thickBot="1" x14ac:dyDescent="0.4">
      <c r="A17" t="s">
        <v>117</v>
      </c>
      <c r="B17" s="169">
        <v>25</v>
      </c>
      <c r="C17" s="160">
        <f>'Producer Set Up'!$C$14</f>
        <v>20</v>
      </c>
    </row>
    <row r="18" spans="1:6" ht="15" thickBot="1" x14ac:dyDescent="0.4">
      <c r="A18" s="24" t="s">
        <v>118</v>
      </c>
      <c r="B18" s="139">
        <v>25</v>
      </c>
      <c r="C18" s="160">
        <f>'Producer Set Up'!$C$15</f>
        <v>25</v>
      </c>
    </row>
    <row r="19" spans="1:6" x14ac:dyDescent="0.35">
      <c r="B19" s="59"/>
    </row>
    <row r="20" spans="1:6" x14ac:dyDescent="0.35">
      <c r="B20" s="59"/>
    </row>
    <row r="21" spans="1:6" x14ac:dyDescent="0.35">
      <c r="B21" s="59"/>
    </row>
    <row r="22" spans="1:6" x14ac:dyDescent="0.35">
      <c r="B22" s="251" t="s">
        <v>224</v>
      </c>
      <c r="C22" s="251"/>
      <c r="D22" s="250" t="s">
        <v>225</v>
      </c>
      <c r="E22" s="250"/>
    </row>
    <row r="23" spans="1:6" x14ac:dyDescent="0.35">
      <c r="A23" s="24" t="s">
        <v>213</v>
      </c>
      <c r="B23" s="100" t="s">
        <v>25</v>
      </c>
      <c r="C23" s="100" t="s">
        <v>24</v>
      </c>
      <c r="D23" s="73" t="s">
        <v>25</v>
      </c>
      <c r="E23" s="73" t="s">
        <v>24</v>
      </c>
    </row>
    <row r="24" spans="1:6" x14ac:dyDescent="0.35">
      <c r="A24" t="s">
        <v>150</v>
      </c>
      <c r="B24" s="43">
        <f>B13*B10*B17</f>
        <v>2.7</v>
      </c>
      <c r="C24" s="42">
        <f>B24*Revenue!B5</f>
        <v>675</v>
      </c>
      <c r="D24" s="43">
        <f>C13*C10*C17</f>
        <v>2.16</v>
      </c>
      <c r="E24" s="42">
        <f>D24*Revenue!C5</f>
        <v>540</v>
      </c>
    </row>
    <row r="25" spans="1:6" x14ac:dyDescent="0.35">
      <c r="A25" s="24" t="s">
        <v>151</v>
      </c>
      <c r="B25" s="45">
        <f>+(1-B13)*B10*B18</f>
        <v>24.3</v>
      </c>
      <c r="C25" s="44">
        <f>B25*Revenue!B5</f>
        <v>6075</v>
      </c>
      <c r="D25" s="45">
        <f>+(1-C13)*C10*C18</f>
        <v>24.3</v>
      </c>
      <c r="E25" s="44">
        <f>D25*Revenue!C5</f>
        <v>6075</v>
      </c>
      <c r="F25" t="s">
        <v>268</v>
      </c>
    </row>
    <row r="26" spans="1:6" x14ac:dyDescent="0.35">
      <c r="C26" s="61"/>
    </row>
    <row r="27" spans="1:6" x14ac:dyDescent="0.35">
      <c r="A27" t="s">
        <v>173</v>
      </c>
      <c r="B27" s="36">
        <f>(B24*('Pasture&amp;Feed'!B42/365)*365)</f>
        <v>0.17550000000000002</v>
      </c>
      <c r="C27" s="102">
        <f>B27*Revenue!B7</f>
        <v>41.023125000000007</v>
      </c>
      <c r="D27" s="36">
        <f>(D24*('Pasture&amp;Feed'!C42/365)*365)</f>
        <v>0.1404</v>
      </c>
      <c r="E27" s="102">
        <f>D27*Revenue!C7</f>
        <v>32.8185</v>
      </c>
    </row>
  </sheetData>
  <sheetProtection algorithmName="SHA-512" hashValue="nZBJXaVAmhKysP15AB+iRXoBmpKB8HQGWKRuoWDIZpe3v40E7Ua1eDQl+14/i6Q8y0SnJLDerCOxUe4nTk6nRA==" saltValue="q4l2PYPBv+CGqVlIOjWO9g==" spinCount="100000" sheet="1" objects="1" scenarios="1"/>
  <mergeCells count="3">
    <mergeCell ref="A1:C1"/>
    <mergeCell ref="B22:C22"/>
    <mergeCell ref="D22:E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Producer Set Up</vt:lpstr>
      <vt:lpstr>Detailed Budget</vt:lpstr>
      <vt:lpstr>Revenue</vt:lpstr>
      <vt:lpstr>Pasture&amp;Feed</vt:lpstr>
      <vt:lpstr>Vet_Med</vt:lpstr>
      <vt:lpstr>Breeding</vt:lpstr>
      <vt:lpstr>Market&amp;Haul</vt:lpstr>
      <vt:lpstr>Shearing</vt:lpstr>
      <vt:lpstr>Labor</vt:lpstr>
      <vt:lpstr>CRC&amp;FLR</vt:lpstr>
      <vt:lpstr>Uti&amp;Tax&amp;Ins</vt:lpstr>
      <vt:lpstr>Pred Contrl</vt:lpstr>
      <vt:lpstr>Interest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Biermacher, Jon Todd</dc:creator>
  <cp:lastModifiedBy>Biermacher, Jon Todd</cp:lastModifiedBy>
  <dcterms:created xsi:type="dcterms:W3CDTF">2026-03-10T15:54:04Z</dcterms:created>
  <dcterms:modified xsi:type="dcterms:W3CDTF">2026-08-04T15:40:00Z</dcterms:modified>
</cp:coreProperties>
</file>